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hblmv+Lq1MS2dQn33ynAK1orZDnDmnkjZQ6Bin5p4goj2bOO4l4baFN984v5faddZAr1XRZEVG2j8C6DIH3PuQ==" workbookSaltValue="cfqEwL3VhJNneuW1Hv13e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E11" i="13"/>
  <c r="BD11" i="13"/>
  <c r="BM18" i="16"/>
  <c r="BF17" i="8"/>
  <c r="B13" i="7"/>
  <c r="E18" i="12"/>
  <c r="EL19" i="8"/>
  <c r="AP12" i="11"/>
  <c r="EN19" i="8"/>
  <c r="F12" i="21"/>
  <c r="G10" i="3"/>
  <c r="BA13" i="16"/>
  <c r="J10" i="2"/>
  <c r="AP10" i="11"/>
  <c r="Y12" i="11"/>
  <c r="T10" i="21"/>
  <c r="D11" i="2"/>
  <c r="ES19" i="8"/>
  <c r="G18" i="12"/>
  <c r="C18" i="7"/>
  <c r="R8" i="9"/>
  <c r="X12" i="21" s="1"/>
  <c r="BM19" i="8"/>
  <c r="AL13" i="16"/>
  <c r="BH9" i="16"/>
  <c r="BJ17" i="11"/>
  <c r="BH15" i="16"/>
  <c r="Q17" i="20"/>
  <c r="Q18" i="20" s="1"/>
  <c r="V11" i="16"/>
  <c r="BF17" i="11"/>
  <c r="BF16" i="11"/>
  <c r="S17" i="16"/>
  <c r="BL12" i="11"/>
  <c r="S13" i="16"/>
  <c r="V12" i="21"/>
  <c r="P13" i="16"/>
  <c r="AM13" i="20"/>
  <c r="Z13" i="17"/>
  <c r="H13" i="12"/>
  <c r="T13" i="12"/>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R11" i="14"/>
  <c r="BJ10" i="11"/>
  <c r="BH10" i="16"/>
  <c r="BK16" i="11"/>
  <c r="Q15" i="17"/>
  <c r="BH11" i="11"/>
  <c r="BM17" i="11"/>
  <c r="BG16" i="11"/>
  <c r="BF15" i="11"/>
  <c r="T11" i="11"/>
  <c r="S17" i="17"/>
  <c r="BH16" i="11"/>
  <c r="BM9" i="11"/>
  <c r="AQ12" i="21"/>
  <c r="BH12" i="16"/>
  <c r="BJ16" i="11"/>
  <c r="BK10" i="11"/>
  <c r="BL16" i="11"/>
  <c r="BD15" i="8"/>
  <c r="BD9" i="8"/>
  <c r="BA13" i="8"/>
  <c r="L10" i="2"/>
  <c r="AA10" i="16"/>
  <c r="S15" i="17"/>
  <c r="S16" i="17"/>
  <c r="L12" i="2"/>
  <c r="L16" i="2"/>
  <c r="L17" i="2"/>
  <c r="X10" i="21"/>
  <c r="X15" i="16"/>
  <c r="X18" i="16" s="1"/>
  <c r="U9" i="17"/>
  <c r="U19" i="17" s="1"/>
  <c r="AA11" i="16"/>
  <c r="T13" i="20"/>
  <c r="T13" i="16"/>
  <c r="AP13" i="16"/>
  <c r="AA9"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V18" i="21" l="1"/>
  <c r="I19" i="8"/>
  <c r="G12" i="12"/>
  <c r="AB13" i="21"/>
  <c r="BG12" i="8"/>
  <c r="AC10" i="11"/>
  <c r="E13" i="17"/>
  <c r="M18" i="2"/>
  <c r="AN12" i="11"/>
  <c r="D10" i="6"/>
  <c r="K9" i="7"/>
  <c r="E9" i="6"/>
  <c r="C11" i="6"/>
  <c r="AO17" i="11"/>
  <c r="AO15" i="11"/>
  <c r="AO9" i="11"/>
  <c r="AL16" i="11"/>
  <c r="F15" i="16"/>
  <c r="BL15" i="16" s="1"/>
  <c r="BE12" i="21"/>
  <c r="BE9" i="13"/>
  <c r="AL9" i="11"/>
  <c r="E11" i="6"/>
  <c r="BH15" i="11"/>
  <c r="V15" i="11"/>
  <c r="AP16" i="20"/>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M19" i="11" l="1"/>
  <c r="BD19" i="8"/>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<sst xmlns="http://schemas.openxmlformats.org/spreadsheetml/2006/main" count="2094" uniqueCount="913">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</sst>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iwsV8Mjh4LaZguI9huXbDf4bx3GBhL/H61Hbmr5HI8CY8UOGJoiu5tbKAsDRfNap4yRsbITK2RIA5++VftNgg==" saltValue="SxjBrukHL3RgzA3u7zhW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0</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63.927536231884062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385</v>
      </c>
      <c r="D16" s="229">
        <f>IF(ISNUMBER(IF(D_I="SI",Datos!I16,Datos!I16+Datos!AC16)),IF(D_I="SI",Datos!I16,Datos!I16+Datos!AC16)," - ")</f>
        <v>382</v>
      </c>
      <c r="E16" s="230">
        <f>IF(ISNUMBER(IF(D_I="SI",Datos!J16,Datos!J16+Datos!AD16)),IF(D_I="SI",Datos!J16,Datos!J16+Datos!AD16)," - ")</f>
        <v>150</v>
      </c>
      <c r="F16" s="230">
        <f>IF(ISNUMBER(IF(D_I="SI",Datos!K16,Datos!K16+Datos!AE16)),IF(D_I="SI",Datos!K16,Datos!K16+Datos!AE16)," - ")</f>
        <v>129</v>
      </c>
      <c r="G16" s="1189" t="str">
        <f>IF(Datos!E16&lt;&gt;"",Datos!E16,Datos!D16)</f>
        <v>04</v>
      </c>
      <c r="H16" s="231">
        <f>IF(ISNUMBER(IF(D_I="SI",Datos!L16,Datos!L16+Datos!AF16)),IF(D_I="SI",Datos!L16,Datos!L16+Datos!AF16)," - ")</f>
        <v>406</v>
      </c>
      <c r="I16" s="1199" t="str">
        <f>IF(ISNUMBER(Datos!AS16/Datos!BM16),Datos!AS16/Datos!BM16," - ")</f>
        <v xml:space="preserve"> - </v>
      </c>
      <c r="J16" s="1200">
        <f>IF(ISNUMBER(Datos!BY16/Datos!CN16),Datos!BY16/Datos!CN16," - ")</f>
        <v>0</v>
      </c>
      <c r="K16" s="234">
        <f t="shared" si="3"/>
        <v>5.4545454545454543E-2</v>
      </c>
      <c r="L16" s="1201">
        <f>IF(ISNUMBER(NºAsuntos!I16/NºAsuntos!G16),(NºAsuntos!I16/NºAsuntos!G16)*11," - ")</f>
        <v>34.620155038759691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v>
      </c>
      <c r="D17" s="229">
        <f>IF(ISNUMBER(IF(D_I="SI",Datos!I17,Datos!I17+Datos!AC17)),IF(D_I="SI",Datos!I17,Datos!I17+Datos!AC17)," - ")</f>
        <v>25</v>
      </c>
      <c r="E17" s="230">
        <f>IF(ISNUMBER(IF(D_I="SI",Datos!J17,Datos!J17+Datos!AD17)),IF(D_I="SI",Datos!J17,Datos!J17+Datos!AD17)," - ")</f>
        <v>6</v>
      </c>
      <c r="F17" s="230">
        <f>IF(ISNUMBER(IF(D_I="SI",Datos!K17,Datos!K17+Datos!AE17)),IF(D_I="SI",Datos!K17,Datos!K17+Datos!AE17)," - ")</f>
        <v>7</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-0.04</v>
      </c>
      <c r="L17" s="1201">
        <f>IF(ISNUMBER(NºAsuntos!I17/NºAsuntos!G17),(NºAsuntos!I17/NºAsuntos!G17)*11," - ")</f>
        <v>37.714285714285715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410</v>
      </c>
      <c r="D18" s="1206">
        <f>SUBTOTAL(9,D15:D17)</f>
        <v>407</v>
      </c>
      <c r="E18" s="1207">
        <f>SUBTOTAL(9,E15:E17)</f>
        <v>156</v>
      </c>
      <c r="F18" s="1207">
        <f>SUBTOTAL(9,F15:F17)</f>
        <v>136</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416</v>
      </c>
      <c r="D19" s="1228">
        <f>SUBTOTAL(9,D9:D18)</f>
        <v>413</v>
      </c>
      <c r="E19" s="1229">
        <f>SUBTOTAL(9,E9:E18)</f>
        <v>156</v>
      </c>
      <c r="F19" s="1229">
        <f>SUBTOTAL(9,F9:F18)</f>
        <v>136</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wD7PE/tGmfxmr5WDi6DaByCqMl94035TfU/uWfIblMFkOpdlJY46TZEertdAT1oa1S4t+qi9dllksM1OcKBuQ==" saltValue="vpJIbtSydRYkHwmSBxzu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KYLEPbPpXbGATOzHzOej0c4aJq2joblGdT/JGu5O0ITKDQhEWqKjGPG8aqBTKsCMcJgDV/onTOpwjX9ng9pjQ==" saltValue="JPwWIbCeC0WPFzITABzR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0</v>
      </c>
      <c r="K10" s="185">
        <v>0</v>
      </c>
      <c r="L10" s="185">
        <v>6</v>
      </c>
      <c r="M10" s="185">
        <v>0</v>
      </c>
      <c r="N10" s="185">
        <v>0</v>
      </c>
      <c r="O10" s="185">
        <v>0</v>
      </c>
      <c r="P10" s="185">
        <v>0</v>
      </c>
      <c r="Q10" s="185">
        <v>0</v>
      </c>
      <c r="R10" s="185">
        <v>0</v>
      </c>
      <c r="S10" s="185">
        <v>4</v>
      </c>
      <c r="T10" s="185">
        <v>1</v>
      </c>
      <c r="U10" s="185">
        <v>0</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0</v>
      </c>
      <c r="BB10" s="130">
        <f t="shared" si="0"/>
        <v>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718</v>
      </c>
      <c r="J12" s="187">
        <v>136</v>
      </c>
      <c r="K12" s="187">
        <v>119</v>
      </c>
      <c r="L12" s="187">
        <v>735</v>
      </c>
      <c r="M12" s="187">
        <v>36</v>
      </c>
      <c r="N12" s="187">
        <v>55</v>
      </c>
      <c r="O12" s="185">
        <v>83</v>
      </c>
      <c r="P12" s="187">
        <v>27</v>
      </c>
      <c r="Q12" s="187">
        <v>13</v>
      </c>
      <c r="R12" s="187">
        <v>676</v>
      </c>
      <c r="S12" s="187">
        <v>505</v>
      </c>
      <c r="T12" s="187">
        <v>154</v>
      </c>
      <c r="U12" s="187">
        <v>108</v>
      </c>
      <c r="V12" s="187">
        <v>540</v>
      </c>
      <c r="W12" s="187">
        <v>31</v>
      </c>
      <c r="X12" s="193">
        <v>45</v>
      </c>
      <c r="Y12" s="195">
        <v>48</v>
      </c>
      <c r="Z12" s="185">
        <v>38</v>
      </c>
      <c r="AA12" s="185">
        <v>19</v>
      </c>
      <c r="AB12" s="185">
        <v>67</v>
      </c>
      <c r="AC12" s="187">
        <v>0</v>
      </c>
      <c r="AD12" s="187">
        <v>0</v>
      </c>
      <c r="AE12" s="187">
        <v>0</v>
      </c>
      <c r="AF12" s="193">
        <v>0</v>
      </c>
      <c r="AG12" s="206">
        <v>51</v>
      </c>
      <c r="AH12" s="187">
        <v>19</v>
      </c>
      <c r="AI12" s="187">
        <v>20</v>
      </c>
      <c r="AJ12" s="207">
        <v>33</v>
      </c>
      <c r="AK12" s="186">
        <v>0</v>
      </c>
      <c r="AL12" s="187">
        <v>0</v>
      </c>
      <c r="AM12" s="187">
        <v>0</v>
      </c>
      <c r="AN12" s="193">
        <v>0</v>
      </c>
      <c r="AO12" s="263">
        <v>1</v>
      </c>
      <c r="AP12" s="159">
        <v>1</v>
      </c>
      <c r="AQ12" s="159">
        <v>1</v>
      </c>
      <c r="AR12" s="158">
        <v>1</v>
      </c>
      <c r="AS12" s="349" t="s">
        <v>811</v>
      </c>
      <c r="AT12" s="207"/>
      <c r="AU12" s="206"/>
      <c r="AV12" s="207"/>
      <c r="AW12" s="206"/>
      <c r="AX12" s="207"/>
      <c r="AY12" s="127">
        <f t="shared" si="1"/>
        <v>556</v>
      </c>
      <c r="AZ12" s="128">
        <f t="shared" si="1"/>
        <v>173</v>
      </c>
      <c r="BA12" s="128">
        <f t="shared" si="1"/>
        <v>128</v>
      </c>
      <c r="BB12" s="128">
        <f t="shared" si="1"/>
        <v>573</v>
      </c>
      <c r="BC12" s="126">
        <f>IF(ISNUMBER(X12),X12," - ")</f>
        <v>45</v>
      </c>
      <c r="BD12" s="127">
        <f t="shared" si="2"/>
        <v>0.73988439306358378</v>
      </c>
      <c r="BE12" s="128">
        <f t="shared" si="3"/>
        <v>4.4765625</v>
      </c>
      <c r="BF12" s="128">
        <f t="shared" si="4"/>
        <v>0.3515625</v>
      </c>
      <c r="BG12" s="200">
        <f t="shared" si="5"/>
        <v>5.6953125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724</v>
      </c>
      <c r="J13" s="188">
        <f t="shared" si="6"/>
        <v>136</v>
      </c>
      <c r="K13" s="188">
        <f t="shared" si="6"/>
        <v>119</v>
      </c>
      <c r="L13" s="188">
        <f t="shared" si="6"/>
        <v>741</v>
      </c>
      <c r="M13" s="188">
        <f t="shared" si="6"/>
        <v>36</v>
      </c>
      <c r="N13" s="188">
        <f t="shared" si="6"/>
        <v>55</v>
      </c>
      <c r="O13" s="188">
        <f t="shared" si="6"/>
        <v>83</v>
      </c>
      <c r="P13" s="188">
        <f t="shared" si="6"/>
        <v>27</v>
      </c>
      <c r="Q13" s="188">
        <f t="shared" si="6"/>
        <v>13</v>
      </c>
      <c r="R13" s="188">
        <f t="shared" si="6"/>
        <v>676</v>
      </c>
      <c r="S13" s="188">
        <f t="shared" si="6"/>
        <v>509</v>
      </c>
      <c r="T13" s="188">
        <f t="shared" si="6"/>
        <v>155</v>
      </c>
      <c r="U13" s="188">
        <f t="shared" si="6"/>
        <v>108</v>
      </c>
      <c r="V13" s="188">
        <f t="shared" si="6"/>
        <v>545</v>
      </c>
      <c r="W13" s="188">
        <f t="shared" si="6"/>
        <v>31</v>
      </c>
      <c r="X13" s="188">
        <f t="shared" si="6"/>
        <v>45</v>
      </c>
      <c r="Y13" s="188">
        <f t="shared" si="6"/>
        <v>48</v>
      </c>
      <c r="Z13" s="188">
        <f t="shared" si="6"/>
        <v>38</v>
      </c>
      <c r="AA13" s="188">
        <f t="shared" si="6"/>
        <v>19</v>
      </c>
      <c r="AB13" s="188">
        <f t="shared" si="6"/>
        <v>67</v>
      </c>
      <c r="AC13" s="188">
        <f t="shared" si="6"/>
        <v>0</v>
      </c>
      <c r="AD13" s="188">
        <f t="shared" si="6"/>
        <v>0</v>
      </c>
      <c r="AE13" s="188">
        <f t="shared" si="6"/>
        <v>0</v>
      </c>
      <c r="AF13" s="188">
        <f>SUBTOTAL(9,AF9:AF12)</f>
        <v>0</v>
      </c>
      <c r="AG13" s="188">
        <f t="shared" ref="AG13:AT13" si="7">SUBTOTAL(9,AG8:AG12)</f>
        <v>51</v>
      </c>
      <c r="AH13" s="188">
        <f t="shared" si="7"/>
        <v>19</v>
      </c>
      <c r="AI13" s="188">
        <f t="shared" si="7"/>
        <v>20</v>
      </c>
      <c r="AJ13" s="188">
        <f t="shared" si="7"/>
        <v>33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560</v>
      </c>
      <c r="AZ13" s="188">
        <f>SUBTOTAL(9,AZ8:AZ12)</f>
        <v>174</v>
      </c>
      <c r="BA13" s="188">
        <f>SUBTOTAL(9,BA8:BA12)</f>
        <v>128</v>
      </c>
      <c r="BB13" s="188">
        <f>SUBTOTAL(9,BB8:BB12)</f>
        <v>578</v>
      </c>
      <c r="BC13" s="188">
        <f>SUBTOTAL(9,BC8:BC12)</f>
        <v>45</v>
      </c>
      <c r="BD13" s="209">
        <f>IF(ISNUMBER(BA13/AZ13),BA13/AZ13," - ")</f>
        <v>0.73563218390804597</v>
      </c>
      <c r="BE13" s="210">
        <f>IF(ISNUMBER(BB13/BA13),BB13/BA13, " - ")</f>
        <v>4.515625</v>
      </c>
      <c r="BF13" s="210">
        <f>IF(ISNUMBER(BC13/BA13),BC13/BA13, " - ")</f>
        <v>0.3515625</v>
      </c>
      <c r="BG13" s="211">
        <f>IF(ISNUMBER((AY13+AZ13)/BA13),(AY13+AZ13)/BA13," - ")</f>
        <v>5.734375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382</v>
      </c>
      <c r="J16" s="187">
        <v>150</v>
      </c>
      <c r="K16" s="187">
        <v>129</v>
      </c>
      <c r="L16" s="187">
        <v>406</v>
      </c>
      <c r="M16" s="187">
        <v>21</v>
      </c>
      <c r="N16" s="187">
        <v>72</v>
      </c>
      <c r="O16" s="185">
        <v>0</v>
      </c>
      <c r="P16" s="187">
        <v>2</v>
      </c>
      <c r="Q16" s="187">
        <v>7</v>
      </c>
      <c r="R16" s="187">
        <v>19</v>
      </c>
      <c r="S16" s="187">
        <v>283</v>
      </c>
      <c r="T16" s="187">
        <v>158</v>
      </c>
      <c r="U16" s="187">
        <v>167</v>
      </c>
      <c r="V16" s="187">
        <v>274</v>
      </c>
      <c r="W16" s="187">
        <v>20</v>
      </c>
      <c r="X16" s="193">
        <v>97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283</v>
      </c>
      <c r="AZ16" s="128">
        <f t="shared" si="9"/>
        <v>158</v>
      </c>
      <c r="BA16" s="128">
        <f t="shared" si="9"/>
        <v>167</v>
      </c>
      <c r="BB16" s="128">
        <f t="shared" si="9"/>
        <v>274</v>
      </c>
      <c r="BC16" s="126">
        <f>IF(ISNUMBER(W16),W16," - ")</f>
        <v>20</v>
      </c>
      <c r="BD16" s="127">
        <f t="shared" ref="BD16" si="11">IF(ISNUMBER(BA16/AZ16),BA16/AZ16," - ")</f>
        <v>1.0569620253164558</v>
      </c>
      <c r="BE16" s="128">
        <f t="shared" ref="BE16" si="12">IF(ISNUMBER(BB16/BA16),BB16/BA16, " - ")</f>
        <v>1.6407185628742516</v>
      </c>
      <c r="BF16" s="128">
        <f t="shared" ref="BF16" si="13">IF(ISNUMBER(BC16/BA16),BC16/BA16, " - ")</f>
        <v>0.11976047904191617</v>
      </c>
      <c r="BG16" s="200">
        <f t="shared" si="10"/>
        <v>2.6407185628742513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v>
      </c>
      <c r="J17" s="187">
        <v>6</v>
      </c>
      <c r="K17" s="187">
        <v>7</v>
      </c>
      <c r="L17" s="187">
        <v>24</v>
      </c>
      <c r="M17" s="187">
        <v>0</v>
      </c>
      <c r="N17" s="187">
        <v>9</v>
      </c>
      <c r="O17" s="187">
        <v>0</v>
      </c>
      <c r="P17" s="187">
        <v>0</v>
      </c>
      <c r="Q17" s="187">
        <v>0</v>
      </c>
      <c r="R17" s="187">
        <v>0</v>
      </c>
      <c r="S17" s="187">
        <v>15</v>
      </c>
      <c r="T17" s="187">
        <v>13</v>
      </c>
      <c r="U17" s="187">
        <v>11</v>
      </c>
      <c r="V17" s="187">
        <v>17</v>
      </c>
      <c r="W17" s="187">
        <v>1</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13</v>
      </c>
      <c r="BA17" s="130">
        <f t="shared" si="14"/>
        <v>11</v>
      </c>
      <c r="BB17" s="130">
        <f t="shared" si="14"/>
        <v>17</v>
      </c>
      <c r="BC17" s="126">
        <f>IF(ISNUMBER(W17),W17," - ")</f>
        <v>1</v>
      </c>
      <c r="BD17" s="127">
        <f>IF(ISNUMBER(BA17/AZ17),BA17/AZ17," - ")</f>
        <v>0.84615384615384615</v>
      </c>
      <c r="BE17" s="128">
        <f>IF(ISNUMBER(BB17/BA17),BB17/BA17, " - ")</f>
        <v>1.5454545454545454</v>
      </c>
      <c r="BF17" s="128">
        <f>IF(ISNUMBER(BC17/BA17),BC17/BA17, " - ")</f>
        <v>9.0909090909090912E-2</v>
      </c>
      <c r="BG17" s="200">
        <f>IF(ISNUMBER((AY17+AZ17)/BA17),(AY17+AZ17)/BA17," - ")</f>
        <v>2.5454545454545454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407</v>
      </c>
      <c r="J18" s="188">
        <f t="shared" si="15"/>
        <v>156</v>
      </c>
      <c r="K18" s="188">
        <f t="shared" si="15"/>
        <v>136</v>
      </c>
      <c r="L18" s="188">
        <f t="shared" si="15"/>
        <v>430</v>
      </c>
      <c r="M18" s="188">
        <f t="shared" si="15"/>
        <v>21</v>
      </c>
      <c r="N18" s="188">
        <f t="shared" si="15"/>
        <v>81</v>
      </c>
      <c r="O18" s="188">
        <f t="shared" si="15"/>
        <v>0</v>
      </c>
      <c r="P18" s="188">
        <f t="shared" si="15"/>
        <v>2</v>
      </c>
      <c r="Q18" s="188">
        <f t="shared" si="15"/>
        <v>7</v>
      </c>
      <c r="R18" s="188">
        <f t="shared" si="15"/>
        <v>19</v>
      </c>
      <c r="S18" s="188">
        <f t="shared" si="15"/>
        <v>298</v>
      </c>
      <c r="T18" s="188">
        <f t="shared" si="15"/>
        <v>171</v>
      </c>
      <c r="U18" s="188">
        <f t="shared" si="15"/>
        <v>178</v>
      </c>
      <c r="V18" s="188">
        <f t="shared" si="15"/>
        <v>291</v>
      </c>
      <c r="W18" s="188">
        <f t="shared" si="15"/>
        <v>21</v>
      </c>
      <c r="X18" s="188">
        <f t="shared" si="15"/>
        <v>110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298</v>
      </c>
      <c r="AZ18" s="188">
        <f>SUBTOTAL(9,AZ14:AZ17)</f>
        <v>171</v>
      </c>
      <c r="BA18" s="188">
        <f>SUBTOTAL(9,BA14:BA17)</f>
        <v>178</v>
      </c>
      <c r="BB18" s="188">
        <f>SUBTOTAL(9,BB14:BB17)</f>
        <v>291</v>
      </c>
      <c r="BC18" s="188">
        <f>SUBTOTAL(9,BC14:BC17)</f>
        <v>21</v>
      </c>
      <c r="BD18" s="209">
        <f>IF(ISNUMBER(BA18/AZ18),BA18/AZ18," - ")</f>
        <v>1.0409356725146199</v>
      </c>
      <c r="BE18" s="210">
        <f>IF(ISNUMBER(BB18/BA18),BB18/BA18, " - ")</f>
        <v>1.6348314606741574</v>
      </c>
      <c r="BF18" s="210">
        <f>IF(ISNUMBER(BC18/BA18),BC18/BA18, " - ")</f>
        <v>0.11797752808988764</v>
      </c>
      <c r="BG18" s="211">
        <f>IF(ISNUMBER((AY18+AZ18)/BA18),(AY18+AZ18)/BA18," - ")</f>
        <v>2.6348314606741572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1131</v>
      </c>
      <c r="J19" s="135">
        <f t="shared" si="18"/>
        <v>292</v>
      </c>
      <c r="K19" s="135">
        <f t="shared" si="18"/>
        <v>255</v>
      </c>
      <c r="L19" s="135">
        <f t="shared" si="18"/>
        <v>1171</v>
      </c>
      <c r="M19" s="135">
        <f t="shared" si="18"/>
        <v>57</v>
      </c>
      <c r="N19" s="135">
        <f t="shared" si="18"/>
        <v>136</v>
      </c>
      <c r="O19" s="135">
        <f t="shared" si="18"/>
        <v>83</v>
      </c>
      <c r="P19" s="135">
        <f t="shared" si="18"/>
        <v>29</v>
      </c>
      <c r="Q19" s="135">
        <f t="shared" si="18"/>
        <v>20</v>
      </c>
      <c r="R19" s="135">
        <f t="shared" si="18"/>
        <v>695</v>
      </c>
      <c r="S19" s="135">
        <f t="shared" si="18"/>
        <v>807</v>
      </c>
      <c r="T19" s="135">
        <f t="shared" si="18"/>
        <v>326</v>
      </c>
      <c r="U19" s="135">
        <f t="shared" si="18"/>
        <v>286</v>
      </c>
      <c r="V19" s="135">
        <f t="shared" si="18"/>
        <v>836</v>
      </c>
      <c r="W19" s="135">
        <f t="shared" si="18"/>
        <v>52</v>
      </c>
      <c r="X19" s="135">
        <f t="shared" si="18"/>
        <v>155</v>
      </c>
      <c r="Y19" s="135">
        <f t="shared" si="18"/>
        <v>48</v>
      </c>
      <c r="Z19" s="135">
        <f t="shared" si="18"/>
        <v>38</v>
      </c>
      <c r="AA19" s="135">
        <f t="shared" si="18"/>
        <v>19</v>
      </c>
      <c r="AB19" s="135">
        <f t="shared" si="18"/>
        <v>67</v>
      </c>
      <c r="AC19" s="135">
        <f t="shared" si="18"/>
        <v>0</v>
      </c>
      <c r="AD19" s="135">
        <f t="shared" si="18"/>
        <v>0</v>
      </c>
      <c r="AE19" s="135">
        <f t="shared" si="18"/>
        <v>0</v>
      </c>
      <c r="AF19" s="135">
        <f t="shared" si="18"/>
        <v>0</v>
      </c>
      <c r="AG19" s="135">
        <f t="shared" si="18"/>
        <v>51</v>
      </c>
      <c r="AH19" s="135">
        <f t="shared" si="18"/>
        <v>19</v>
      </c>
      <c r="AI19" s="135">
        <f t="shared" si="18"/>
        <v>20</v>
      </c>
      <c r="AJ19" s="135">
        <f t="shared" si="18"/>
        <v>33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858</v>
      </c>
      <c r="AZ19" s="135">
        <f>SUBTOTAL(9,AZ9:AZ18)</f>
        <v>345</v>
      </c>
      <c r="BA19" s="135">
        <f>SUBTOTAL(9,BA9:BA18)</f>
        <v>306</v>
      </c>
      <c r="BB19" s="135">
        <f>SUBTOTAL(9,BB9:BB18)</f>
        <v>869</v>
      </c>
      <c r="BC19" s="136">
        <f>SUBTOTAL(9,BC9:BC18)</f>
        <v>66</v>
      </c>
      <c r="BD19" s="217">
        <f>IF(ISNUMBER(BA19/AZ19),BA19/AZ19," - ")</f>
        <v>0.88695652173913042</v>
      </c>
      <c r="BE19" s="214">
        <f>IF(ISNUMBER(BB19/BA19),BB19/BA19, " - ")</f>
        <v>2.8398692810457518</v>
      </c>
      <c r="BF19" s="214">
        <f>IF(ISNUMBER(BC19/BA19),BC19/BA19, " - ")</f>
        <v>0.21568627450980393</v>
      </c>
      <c r="BG19" s="136">
        <f>IF(ISNUMBER((AY19+AZ19)/BA19),(AY19+AZ19)/BA19," - ")</f>
        <v>3.9313725490196076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wIRwogXRTm3rKcn7i0L3j5k4whYpHR6dtaIt/I4VlQHElBvBNWKARYvvD8iFXc0Acv7ZfC63L0p0a8vQKl6Q==" saltValue="YsYlZm2o6HaiaD455ZnT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6M+q+T2T2q0dqawBnTpp5sQuoGWYDmPxxHIo/mfXMi34yq8ouDXlOfUFtc0B5cLA9jai6QNbhxz9HANXIQqcw==" saltValue="77azwmeiRRm9Ra9vNvQf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SARRIA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67</v>
      </c>
      <c r="AI12" s="503" t="str">
        <f>IF(ISNUMBER(Datos!CD12),Datos!CD12,"-")</f>
        <v>-</v>
      </c>
      <c r="AJ12" s="503" t="str">
        <f>IF(ISNUMBER(Datos!EN12),Datos!EN12," - ")</f>
        <v xml:space="preserve"> - </v>
      </c>
      <c r="AK12" s="503"/>
      <c r="AL12" s="504"/>
      <c r="AM12" s="671">
        <f>IF(ISNUMBER(Datos!R12),Datos!R12," - ")</f>
        <v>676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36</v>
      </c>
      <c r="BD12" s="619">
        <f>IF(ISNUMBER(Datos!N12),Datos!N12," - ")</f>
        <v>55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0.7931034482758621</v>
      </c>
      <c r="BH12" s="669">
        <f>IF(ISNUMBER(((IF(J_V="SI",Datos!L12/Datos!K12,(Datos!L12+Datos!AB12)/(Datos!K12+Datos!AA12)))*11)/factor_trimestre),((IF(J_V="SI",Datos!L12/Datos!K12,(Datos!L12+Datos!AB12)/(Datos!K12+Datos!AA12)))*11)/factor_trimestre," - ")</f>
        <v>11.623188405797102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2.1148036253776436E-2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v>
      </c>
      <c r="AD13" s="1045">
        <f t="shared" si="1"/>
        <v>0</v>
      </c>
      <c r="AE13" s="1045">
        <f t="shared" si="1"/>
        <v>0</v>
      </c>
      <c r="AF13" s="1045">
        <f t="shared" si="1"/>
        <v>6</v>
      </c>
      <c r="AG13" s="1045">
        <f t="shared" si="1"/>
        <v>0</v>
      </c>
      <c r="AH13" s="1045">
        <f t="shared" si="1"/>
        <v>67</v>
      </c>
      <c r="AI13" s="1045">
        <f t="shared" si="1"/>
        <v>0</v>
      </c>
      <c r="AJ13" s="1045">
        <f t="shared" si="1"/>
        <v>0</v>
      </c>
      <c r="AK13" s="1045">
        <f t="shared" si="1"/>
        <v>0</v>
      </c>
      <c r="AL13" s="1045">
        <f t="shared" si="1"/>
        <v>0</v>
      </c>
      <c r="AM13" s="1045">
        <f t="shared" si="1"/>
        <v>676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36</v>
      </c>
      <c r="BD13" s="1045">
        <f t="shared" si="1"/>
        <v>55</v>
      </c>
      <c r="BE13" s="1045">
        <f t="shared" si="1"/>
        <v>0</v>
      </c>
      <c r="BF13" s="1045">
        <f t="shared" si="1"/>
        <v>0</v>
      </c>
      <c r="BG13" s="1045">
        <f>IF(ISNUMBER(Datos!K13/Datos!J13),Datos!K13/Datos!J13," - ")</f>
        <v>0.875</v>
      </c>
      <c r="BH13" s="1049">
        <f>IF(ISNUMBER(((Datos!L13/Datos!K13)*11)/factor_trimestre),((Datos!L13/Datos!K13)*11)/factor_trimestre," - ")</f>
        <v>12.453781512605042</v>
      </c>
      <c r="BI13" s="1045">
        <f>IF(ISNUMBER('Resol  Asuntos'!D13/NºAsuntos!G13),'Resol  Asuntos'!D13/NºAsuntos!G13," - ")</f>
        <v>0.2608695652173913</v>
      </c>
      <c r="BJ13" s="1045" t="str">
        <f>IF(ISNUMBER(Datos!CI13/Datos!CJ13),Datos!CI13/Datos!CJ13," - ")</f>
        <v xml:space="preserve"> - </v>
      </c>
      <c r="BK13" s="1045">
        <f>SUBTOTAL(9,BK8:BK12)</f>
        <v>0</v>
      </c>
      <c r="BL13" s="1045">
        <f>IF(ISNUMBER((I13-AB13+L13)/(F13)),(I13-AB13+L13)/(F13)," - ")</f>
        <v>0</v>
      </c>
      <c r="BM13" s="1050">
        <f>SUBTOTAL(9,BM9:BM12)</f>
        <v>2.1148036253776436E-2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385</v>
      </c>
      <c r="G16" s="650">
        <f>IF(ISNUMBER(IF(D_I="SI",Datos!I16,Datos!I16+Datos!AC16)),IF(D_I="SI",Datos!I16,Datos!I16+Datos!AC16)," - ")</f>
        <v>382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129</v>
      </c>
      <c r="AC16" s="230">
        <f>IF(ISNUMBER(Datos!Q16),Datos!Q16," - ")</f>
        <v>7</v>
      </c>
      <c r="AD16" s="343"/>
      <c r="AE16" s="515"/>
      <c r="AF16" s="648">
        <f>IF(ISNUMBER(IF(D_I="SI",Datos!L16,Datos!L16+Datos!AF16)),IF(D_I="SI",Datos!L16,Datos!L16+Datos!AF16)," - ")</f>
        <v>406</v>
      </c>
      <c r="AG16" s="343"/>
      <c r="AH16" s="343"/>
      <c r="AI16" s="343"/>
      <c r="AJ16" s="503"/>
      <c r="AK16" s="343"/>
      <c r="AL16" s="499"/>
      <c r="AM16" s="344">
        <f>IF(ISNUMBER(Datos!R16),Datos!R16," - ")</f>
        <v>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v>
      </c>
      <c r="BD16" s="233">
        <f>IF(ISNUMBER(Datos!N16),Datos!N16," - ")</f>
        <v>72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v>
      </c>
      <c r="BH16" s="669">
        <f>IF(ISNUMBER(((IF(D_I="SI",Datos!L16/Datos!K16,(Datos!L16+Datos!AF16)/(Datos!K16+Datos!AE16)))*11)/factor_trimestre),((IF(D_I="SI",Datos!L16/Datos!K16,(Datos!L16+Datos!AF16)/(Datos!K16+Datos!AE16)))*11)/factor_trimestre," - ")</f>
        <v>6.2945736434108532</v>
      </c>
      <c r="BI16" s="247">
        <f>IF(ISNUMBER('Resol  Asuntos'!D16/NºAsuntos!G16),'Resol  Asuntos'!D16/NºAsuntos!G16," - ")</f>
        <v>0.16279069767441862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24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1.1666666666666667</v>
      </c>
      <c r="BH17" s="669">
        <f>IF(ISNUMBER(((IF(D_I="SI",Datos!L17/Datos!K17,(Datos!L17+Datos!AF17)/(Datos!K17+Datos!AE17)))*11)/factor_trimestre),((IF(D_I="SI",Datos!L17/Datos!K17,(Datos!L17+Datos!AF17)/(Datos!K17+Datos!AE17)))*11)/factor_trimestre," - ")</f>
        <v>6.8571428571428577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385</v>
      </c>
      <c r="G18" s="1044">
        <f>SUBTOTAL(9,G15:G17)</f>
        <v>407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136</v>
      </c>
      <c r="AC18" s="1045">
        <f t="shared" si="4"/>
        <v>7</v>
      </c>
      <c r="AD18" s="1045">
        <f t="shared" si="4"/>
        <v>0</v>
      </c>
      <c r="AE18" s="1045">
        <f t="shared" si="4"/>
        <v>0</v>
      </c>
      <c r="AF18" s="1045">
        <f t="shared" si="4"/>
        <v>430</v>
      </c>
      <c r="AG18" s="1045">
        <f t="shared" si="4"/>
        <v>0</v>
      </c>
      <c r="AH18" s="1045">
        <f t="shared" si="4"/>
        <v>0</v>
      </c>
      <c r="AI18" s="1045">
        <f t="shared" si="4"/>
        <v>0</v>
      </c>
      <c r="AJ18" s="1045">
        <f t="shared" si="4"/>
        <v>0</v>
      </c>
      <c r="AK18" s="1045">
        <f t="shared" si="4"/>
        <v>0</v>
      </c>
      <c r="AL18" s="1045">
        <f t="shared" si="4"/>
        <v>0</v>
      </c>
      <c r="AM18" s="1045">
        <f t="shared" si="4"/>
        <v>19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v>
      </c>
      <c r="BD18" s="1045">
        <f t="shared" si="4"/>
        <v>81</v>
      </c>
      <c r="BE18" s="1045">
        <f t="shared" si="4"/>
        <v>0</v>
      </c>
      <c r="BF18" s="1045">
        <f t="shared" si="4"/>
        <v>0</v>
      </c>
      <c r="BG18" s="1045">
        <f>IF(ISNUMBER(Datos!K18/Datos!J18),Datos!K18/Datos!J18," - ")</f>
        <v>0.87179487179487181</v>
      </c>
      <c r="BH18" s="1049">
        <f>IF(ISNUMBER(((Datos!L18/Datos!K18)*11)/factor_trimestre),((Datos!L18/Datos!K18)*11)/factor_trimestre," - ")</f>
        <v>6.3235294117647065</v>
      </c>
      <c r="BI18" s="1045">
        <f>SUBTOTAL(9,BI15:BI17)</f>
        <v>0.16279069767441862</v>
      </c>
      <c r="BJ18" s="1045">
        <f>SUBTOTAL(9,BJ15:BJ17)</f>
        <v>0</v>
      </c>
      <c r="BK18" s="1045">
        <f>SUBTOTAL(9,BK15:BK17)</f>
        <v>0</v>
      </c>
      <c r="BL18" s="1045">
        <f>IF(ISNUMBER((I18-AB18+L18)/(F18)),(I18-AB18+L18)/(F18)," - ")</f>
        <v>-0.35324675324675325</v>
      </c>
      <c r="BM18" s="1051">
        <f>IF(ISNUMBER((Datos!P18-Datos!Q18)/(Datos!R18-Datos!P18+Datos!Q18)),(Datos!P18-Datos!Q18)/(Datos!R18-Datos!P18+Datos!Q18)," - ")</f>
        <v>-0.20833333333333334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391</v>
      </c>
      <c r="G19" s="966">
        <f t="shared" si="6"/>
        <v>413</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136</v>
      </c>
      <c r="AC19" s="967">
        <f t="shared" si="7"/>
        <v>20</v>
      </c>
      <c r="AD19" s="967">
        <f t="shared" si="7"/>
        <v>0</v>
      </c>
      <c r="AE19" s="967">
        <f t="shared" si="7"/>
        <v>0</v>
      </c>
      <c r="AF19" s="974">
        <f t="shared" si="7"/>
        <v>436</v>
      </c>
      <c r="AG19" s="974">
        <f t="shared" si="7"/>
        <v>0</v>
      </c>
      <c r="AH19" s="974">
        <f t="shared" si="7"/>
        <v>67</v>
      </c>
      <c r="AI19" s="974">
        <f t="shared" si="7"/>
        <v>0</v>
      </c>
      <c r="AJ19" s="967">
        <f t="shared" si="7"/>
        <v>0</v>
      </c>
      <c r="AK19" s="974">
        <f t="shared" si="7"/>
        <v>0</v>
      </c>
      <c r="AL19" s="974">
        <f t="shared" si="7"/>
        <v>0</v>
      </c>
      <c r="AM19" s="974">
        <f t="shared" si="7"/>
        <v>695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57</v>
      </c>
      <c r="BD19" s="966">
        <f t="shared" si="7"/>
        <v>136</v>
      </c>
      <c r="BE19" s="966">
        <f t="shared" si="7"/>
        <v>0</v>
      </c>
      <c r="BF19" s="976">
        <f t="shared" si="7"/>
        <v>0</v>
      </c>
      <c r="BG19" s="1061">
        <f>IF(ISNUMBER(Datos!K19/Datos!J19),Datos!K19/Datos!J19," - ")</f>
        <v>0.87328767123287676</v>
      </c>
      <c r="BH19" s="1061">
        <f>IF(ISNUMBER(((Datos!L19/Datos!K19)*11)/factor_trimestre),((Datos!L19/Datos!K19)*11)/factor_trimestre," - ")</f>
        <v>9.1843137254901954</v>
      </c>
      <c r="BI19" s="959">
        <f>IF(ISNUMBER(Datos!J19/Datos!I19),Datos!J19/Datos!I19," - ")</f>
        <v>0.25817860300618922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-0.34782608695652173</v>
      </c>
      <c r="BM19" s="1035">
        <f>IF(ISNUMBER((Datos!P19-Datos!Q19+R19)/(Datos!R19-Datos!P19+Datos!Q19-R19)),(Datos!P19-Datos!Q19+R19)/(Datos!R19-Datos!P19+Datos!Q19-R19)," - ")</f>
        <v>1.3119533527696793E-2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218.81575202286817</v>
      </c>
      <c r="G21" s="600">
        <f>IF(ISNUMBER(STDEV(G8:G18)),STDEV(G8:G18),"-")</f>
        <v>209.65137729096844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71.395378001660589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16.174053295324583</v>
      </c>
      <c r="BD21" s="599"/>
      <c r="BE21" s="599">
        <f>IF(ISNUMBER(STDEV(BE8:BE18)),STDEV(BE8:BE18),"-")</f>
        <v>0</v>
      </c>
      <c r="BF21" s="604">
        <f>IF(ISNUMBER(STDEV(BF8:BF18)),STDEV(BF8:BF18),"-")</f>
        <v>0</v>
      </c>
      <c r="BG21" s="914">
        <f>IF(ISNUMBER(STDEV(BG8:BG18)),STDEV(BG8:BG18),"-")</f>
        <v>0.145492554488898</v>
      </c>
      <c r="BH21" s="918">
        <f>IF(ISNUMBER(STDEV(BH8:BH18)),STDEV(BH8:BH18),"-")</f>
        <v>3.0604399873329973</v>
      </c>
      <c r="BI21" s="253">
        <f>IF(ISNUMBER(STDEV(BI8:BI18)),STDEV(BI8:BI18),"-")</f>
        <v>0.10812549848531826</v>
      </c>
      <c r="BJ21" s="234" t="str">
        <f>IF(ISNUMBER(BL21/BM21),BL21/BM21," - ")</f>
        <v xml:space="preserve"> - </v>
      </c>
      <c r="BK21" s="626"/>
      <c r="BL21" s="607">
        <f>IF(ISNUMBER(STDEV(BL8:BL18)),STDEV(BL8:BL18),"-")</f>
        <v>0.24978317465291031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0/Vlxa+hF1pJzEkbbw/fBvl2Sq4Rx9iFoXWR7kZabu340samWXc9rUds8rXw2rcJ1NqimCIskonwU49IIAdUA==" saltValue="/S6cYxhVMagECtoFeO92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SARRIA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v>
      </c>
      <c r="AA12" s="505" t="str">
        <f>IF(ISNUMBER(IF(J_V="SI",Datos!L12,Datos!L12+Datos!AB12)-IF(Monitorios="SI",Datos!CD12,0)),
                          IF(J_V="SI",Datos!L12,Datos!L12+Datos!AB12)-IF(Monitorios="SI",Datos!CD12,0),
                          " - ")</f>
        <v xml:space="preserve"> - </v>
      </c>
      <c r="AB12" s="503"/>
      <c r="AC12" s="503"/>
      <c r="AD12" s="516"/>
      <c r="AE12" s="516">
        <f>IF(ISNUMBER(Datos!R12),Datos!R12," - ")</f>
        <v>676</v>
      </c>
      <c r="AF12" s="619" t="str">
        <f>IF(ISNUMBER(Datos!BV12),Datos!BV12," - ")</f>
        <v xml:space="preserve"> - </v>
      </c>
      <c r="AG12" s="506" t="str">
        <f>IF(ISNUMBER(Datos!DV12),Datos!DV12," - ")</f>
        <v xml:space="preserve"> - </v>
      </c>
      <c r="AH12" s="507"/>
      <c r="AI12" s="508"/>
      <c r="AJ12" s="506">
        <f>IF(ISNUMBER(Datos!M12),Datos!M12," - ")</f>
        <v>36</v>
      </c>
      <c r="AK12" s="619">
        <f>IF(ISNUMBER(Datos!N12),Datos!N12," - ")</f>
        <v>55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11.623188405797102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2.1148036253776436E-2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v>
      </c>
      <c r="AA13" s="1046">
        <f t="shared" si="2"/>
        <v>6</v>
      </c>
      <c r="AB13" s="1046">
        <f t="shared" si="2"/>
        <v>0</v>
      </c>
      <c r="AC13" s="1046">
        <f t="shared" si="2"/>
        <v>0</v>
      </c>
      <c r="AD13" s="1046">
        <f t="shared" si="2"/>
        <v>0</v>
      </c>
      <c r="AE13" s="1046">
        <f t="shared" si="2"/>
        <v>676</v>
      </c>
      <c r="AF13" s="1054">
        <f t="shared" si="2"/>
        <v>0</v>
      </c>
      <c r="AG13" s="1054">
        <f t="shared" si="2"/>
        <v>0</v>
      </c>
      <c r="AH13" s="1054">
        <f t="shared" si="2"/>
        <v>0</v>
      </c>
      <c r="AI13" s="1054">
        <f t="shared" si="2"/>
        <v>0</v>
      </c>
      <c r="AJ13" s="1054">
        <f t="shared" si="2"/>
        <v>36</v>
      </c>
      <c r="AK13" s="1054">
        <f t="shared" si="2"/>
        <v>55</v>
      </c>
      <c r="AL13" s="1054">
        <f t="shared" si="2"/>
        <v>0</v>
      </c>
      <c r="AM13" s="1054">
        <f t="shared" si="2"/>
        <v>0</v>
      </c>
      <c r="AN13" s="1054">
        <f t="shared" si="2"/>
        <v>0</v>
      </c>
      <c r="AO13" s="1050">
        <f>IF(ISNUMBER(((NºAsuntos!I13/NºAsuntos!G13)*11)/factor_trimestre),((NºAsuntos!I13/NºAsuntos!G13)*11)/factor_trimestre," - ")</f>
        <v>11.710144927536232</v>
      </c>
      <c r="AP13" s="1056" t="str">
        <f>IF(ISNUMBER(Datos!CI13/Datos!CJ13),Datos!CI13/Datos!CJ13," - ")</f>
        <v xml:space="preserve"> - </v>
      </c>
      <c r="AQ13" s="1074">
        <f t="shared" ref="AQ13:AV13" si="3">SUBTOTAL(9,AQ9:AQ12)</f>
        <v>0</v>
      </c>
      <c r="AR13" s="1074">
        <f t="shared" si="3"/>
        <v>2.1148036253776436E-2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385</v>
      </c>
      <c r="G16" s="506">
        <f>IF(ISNUMBER(IF(D_I="SI",Datos!I16,Datos!I16+Datos!AC16)),IF(D_I="SI",Datos!I16,Datos!I16+Datos!AC16)," - ")</f>
        <v>382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129</v>
      </c>
      <c r="Z16" s="703">
        <f>IF(ISNUMBER(Datos!Q16),Datos!Q16," - ")</f>
        <v>7</v>
      </c>
      <c r="AA16" s="505">
        <f>IF(ISNUMBER(IF(D_I="SI",Datos!L16,Datos!L16+Datos!AF16)),IF(D_I="SI",Datos!L16,Datos!L16+Datos!AF16)," - ")</f>
        <v>406</v>
      </c>
      <c r="AB16" s="503"/>
      <c r="AC16" s="503"/>
      <c r="AD16" s="516"/>
      <c r="AE16" s="516">
        <f>IF(ISNUMBER(Datos!R16),Datos!R16," - ")</f>
        <v>19</v>
      </c>
      <c r="AF16" s="619" t="str">
        <f>IF(ISNUMBER(Datos!BV16),Datos!BV16," - ")</f>
        <v xml:space="preserve"> - </v>
      </c>
      <c r="AG16" s="506"/>
      <c r="AH16" s="507"/>
      <c r="AI16" s="508"/>
      <c r="AJ16" s="506">
        <f>IF(ISNUMBER(Datos!M16),Datos!M16," - ")</f>
        <v>21</v>
      </c>
      <c r="AK16" s="619">
        <f>IF(ISNUMBER(Datos!N16),Datos!N16," - ")</f>
        <v>72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6.2945736434108532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24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6.8571428571428577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385</v>
      </c>
      <c r="G18" s="1044">
        <f>SUBTOTAL(9,G15:G17)</f>
        <v>407</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136</v>
      </c>
      <c r="Z18" s="1078">
        <f t="shared" si="5"/>
        <v>7</v>
      </c>
      <c r="AA18" s="1078">
        <f t="shared" si="5"/>
        <v>430</v>
      </c>
      <c r="AB18" s="1078">
        <f t="shared" si="5"/>
        <v>0</v>
      </c>
      <c r="AC18" s="1078">
        <f t="shared" si="5"/>
        <v>0</v>
      </c>
      <c r="AD18" s="1078">
        <f t="shared" si="5"/>
        <v>0</v>
      </c>
      <c r="AE18" s="1078">
        <f t="shared" si="5"/>
        <v>19</v>
      </c>
      <c r="AF18" s="1078">
        <f t="shared" si="5"/>
        <v>0</v>
      </c>
      <c r="AG18" s="1078">
        <f t="shared" si="5"/>
        <v>0</v>
      </c>
      <c r="AH18" s="1078">
        <f t="shared" si="5"/>
        <v>0</v>
      </c>
      <c r="AI18" s="1078">
        <f t="shared" si="5"/>
        <v>0</v>
      </c>
      <c r="AJ18" s="1078">
        <f t="shared" si="5"/>
        <v>21</v>
      </c>
      <c r="AK18" s="1078">
        <f t="shared" si="5"/>
        <v>81</v>
      </c>
      <c r="AL18" s="1078">
        <f t="shared" si="5"/>
        <v>0</v>
      </c>
      <c r="AM18" s="1078">
        <f t="shared" si="5"/>
        <v>0</v>
      </c>
      <c r="AN18" s="1078">
        <f t="shared" si="5"/>
        <v>0</v>
      </c>
      <c r="AO18" s="1080">
        <f>IF(ISNUMBER(((NºAsuntos!I18/NºAsuntos!G18)*11)/factor_trimestre),((NºAsuntos!I18/NºAsuntos!G18)*11)/factor_trimestre," - ")</f>
        <v>6.3235294117647065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391</v>
      </c>
      <c r="G19" s="966">
        <f t="shared" si="7"/>
        <v>413</v>
      </c>
      <c r="H19" s="967">
        <f t="shared" si="7"/>
        <v>0</v>
      </c>
      <c r="I19" s="966">
        <f t="shared" si="7"/>
        <v>0</v>
      </c>
      <c r="J19" s="968">
        <f t="shared" si="7"/>
        <v>0</v>
      </c>
      <c r="K19" s="966">
        <f t="shared" si="7"/>
        <v>0</v>
      </c>
      <c r="L19" s="969">
        <f t="shared" si="7"/>
        <v>0</v>
      </c>
      <c r="M19" s="966">
        <f t="shared" si="7"/>
        <v>0</v>
      </c>
      <c r="N19" s="967">
        <f t="shared" si="7"/>
        <v>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136</v>
      </c>
      <c r="Z19" s="973">
        <f t="shared" si="8"/>
        <v>20</v>
      </c>
      <c r="AA19" s="974">
        <f t="shared" si="8"/>
        <v>436</v>
      </c>
      <c r="AB19" s="974">
        <f t="shared" si="8"/>
        <v>0</v>
      </c>
      <c r="AC19" s="974">
        <f t="shared" si="8"/>
        <v>0</v>
      </c>
      <c r="AD19" s="975">
        <f t="shared" si="8"/>
        <v>0</v>
      </c>
      <c r="AE19" s="975">
        <f t="shared" si="8"/>
        <v>695</v>
      </c>
      <c r="AF19" s="976">
        <f t="shared" si="8"/>
        <v>0</v>
      </c>
      <c r="AG19" s="977">
        <f t="shared" si="8"/>
        <v>0</v>
      </c>
      <c r="AH19" s="978">
        <f t="shared" si="8"/>
        <v>0</v>
      </c>
      <c r="AI19" s="976">
        <f t="shared" si="8"/>
        <v>0</v>
      </c>
      <c r="AJ19" s="966">
        <f t="shared" si="8"/>
        <v>57</v>
      </c>
      <c r="AK19" s="966">
        <f t="shared" si="8"/>
        <v>136</v>
      </c>
      <c r="AL19" s="966">
        <f t="shared" si="8"/>
        <v>0</v>
      </c>
      <c r="AM19" s="979">
        <f t="shared" si="8"/>
        <v>0</v>
      </c>
      <c r="AN19" s="969">
        <f>IF(ISNUMBER(Datos!K19/Datos!J19),Datos!K19/Datos!J19," - ")</f>
        <v>0.87328767123287676</v>
      </c>
      <c r="AO19" s="969">
        <f>IF(ISNUMBER(FIND("06",Criterios!A8,1)),(IF(ISNUMBER(((Datos!R19/Datos!Q19)*11)/factor_trimestre),((Datos!R19/Datos!Q19)*11)/factor_trimestre," - ")),(IF(ISNUMBER(((Datos!L19/Datos!K19)*11)/factor_trimestre),((Datos!L19/Datos!K19)*11)/factor_trimestre," - ")))</f>
        <v>9.1843137254901954</v>
      </c>
      <c r="AP19" s="980" t="str">
        <f>IF(ISNUMBER(Datos!CI19/Datos!CJ19),Datos!CI19/Datos!CJ19," - ")</f>
        <v xml:space="preserve"> - </v>
      </c>
      <c r="AQ19" s="980">
        <f>IF(OR(ISNUMBER(FIND("01",Criterios!A8,1)),ISNUMBER(FIND("02",Criterios!A8,1)),ISNUMBER(FIND("03",Criterios!A8,1)),ISNUMBER(FIND("04",Criterios!A8,1))),(J19-Y19+K19)/(F19-K19),(I19-Y19+K19)/(F19-K19))</f>
        <v>-0.34782608695652173</v>
      </c>
      <c r="AR19" s="980">
        <f>IF(ISNUMBER((Datos!P19-Datos!Q19+O19)/(Datos!R19-Datos!P19+Datos!Q19-O19)),(Datos!P19-Datos!Q19+O19)/(Datos!R19-Datos!P19+Datos!Q19-O19)," - ")</f>
        <v>1.3119533527696793E-2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218.81575202286817</v>
      </c>
      <c r="G21" s="600">
        <f>IF(ISNUMBER(STDEV(G8:G18)),STDEV(G8:G18),"-")</f>
        <v>209.65137729096844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16.174053295324583</v>
      </c>
      <c r="AK21" s="256"/>
      <c r="AL21" s="256">
        <f>IF(ISNUMBER(STDEV(AL8:AL18)),STDEV(AL8:AL18),"-")</f>
        <v>0</v>
      </c>
      <c r="AM21" s="258">
        <f>IF(ISNUMBER(STDEV(AM8:AM18)),STDEV(AM8:AM18),"-")</f>
        <v>0</v>
      </c>
      <c r="AN21" s="586">
        <f>IF(ISNUMBER(STDEV(AN8:AN18)),STDEV(AN8:AN18),"-")</f>
        <v>0</v>
      </c>
      <c r="AO21" s="587">
        <f>IF(ISNUMBER(STDEV(AO8:AO18)),STDEV(AO8:AO18),"-")</f>
        <v>2.8434222897483337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PwAgwMggdqbQWH5yZKzMenNnWtoZnlymWrk0DIt+88wIwpicCkA1oRIWWd1BG5XlUAxgMFfbTiCTxLMEIylEQ==" saltValue="OJM1IaQU0ClJMiO5QLAX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DEaQ7flRjdWBdvmwKMa2u2dXulflzSLI4zuQ/tdbt9BShlZSF8b3BGcpJMo9d/3x/jKBL6yFiRBXizhYrZRHg==" saltValue="RS5/whmKF5B+qY7r5MMf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gw/pcrYMWFO9hoynFt4XddQj7h1Mgwrn8HGKz06yN8CnBLZsQaPx1GWW+PowJxw9eyewzSKMJU4dig2HR+3EA==" saltValue="ZD+dhYEk2jcnNIv0dMym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SARRIA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0.2608695652173913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0.18446263857040371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YwW4MvY+pwoTfJYq2xM1wXcwp7FHjRVMUef4YVeBoQG7bA6jw8vh1KQu12IDPnj65v+G8ZoNdCeUkBl6CfyYg==" saltValue="Yf+8il/yiHjXzTADOvA3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xwidJJqQHbMUNcxmM8QI86/SMViCi3ZS10qrs8Nuqj+EPKgRDi08AqhZQN6YoVHWS4OC7H41U5caHTsMgDh4Q==" saltValue="/QqUb54grO2SD/m84F8h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SARRIA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0</v>
      </c>
      <c r="F10" s="415">
        <f>IF(ISNUMBER(E10/B10),E10/B10," - ")</f>
        <v>0</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766</v>
      </c>
      <c r="D12" s="415">
        <f>IF(ISNUMBER(C12/Datos!BH12),C12/Datos!BH12," - ")</f>
        <v>766</v>
      </c>
      <c r="E12" s="414">
        <f>IF(ISNUMBER(IF(J_V="SI",Datos!J12,Datos!J12+Datos!Z12)),IF(J_V="SI",Datos!J12,Datos!J12+Datos!Z12)," - ")</f>
        <v>174</v>
      </c>
      <c r="F12" s="415">
        <f>IF(ISNUMBER(E12/B12),E12/B12," - ")</f>
        <v>174</v>
      </c>
      <c r="G12" s="414">
        <f>IF(ISNUMBER(IF(J_V="SI",Datos!K12,Datos!K12+Datos!AA12)),IF(J_V="SI",Datos!K12,Datos!K12+Datos!AA12)," - ")</f>
        <v>138</v>
      </c>
      <c r="H12" s="415">
        <f>IF(ISNUMBER(G12/B12),G12/B12," - ")</f>
        <v>138</v>
      </c>
      <c r="I12" s="414">
        <f>IF(ISNUMBER(IF(J_V="SI",Datos!L12,Datos!L12+Datos!AB12)),IF(J_V="SI",Datos!L12,Datos!L12+Datos!AB12)," - ")</f>
        <v>802</v>
      </c>
      <c r="J12" s="415">
        <f>IF(ISNUMBER(I12/B12),I12/B12," - ")</f>
        <v>802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772</v>
      </c>
      <c r="D13" s="996" t="str">
        <f>IF(ISNUMBER(C13/Datos!BI13),C13/Datos!BI13," - ")</f>
        <v xml:space="preserve"> - </v>
      </c>
      <c r="E13" s="995">
        <f>SUBTOTAL(9,E8:E12)</f>
        <v>174</v>
      </c>
      <c r="F13" s="996">
        <f>IF(ISNUMBER(E13/B13),E13/B13," - ")</f>
        <v>174</v>
      </c>
      <c r="G13" s="995">
        <f>SUBTOTAL(9,G8:G12)</f>
        <v>138</v>
      </c>
      <c r="H13" s="996">
        <f>IF(ISNUMBER(G13/B13),G13/B13," - ")</f>
        <v>138</v>
      </c>
      <c r="I13" s="995">
        <f>SUBTOTAL(9,I8:I12)</f>
        <v>808</v>
      </c>
      <c r="J13" s="996">
        <f>IF(ISNUMBER(I13/B13),I13/B13," - ")</f>
        <v>808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382</v>
      </c>
      <c r="D16" s="415">
        <f>IF(ISNUMBER(C16/Datos!BH16),C16/Datos!BH16," - ")</f>
        <v>382</v>
      </c>
      <c r="E16" s="414">
        <f>IF(ISNUMBER(IF(D_I="SI",Datos!J16,Datos!J16+Datos!AD16)),IF(D_I="SI",Datos!J16,Datos!J16+Datos!AD16)," - ")</f>
        <v>150</v>
      </c>
      <c r="F16" s="415">
        <f>IF(ISNUMBER(E16/B16),E16/B16," - ")</f>
        <v>150</v>
      </c>
      <c r="G16" s="414">
        <f>IF(ISNUMBER(IF(D_I="SI",Datos!K16,Datos!K16+Datos!AE16)),IF(D_I="SI",Datos!K16,Datos!K16+Datos!AE16)," - ")</f>
        <v>129</v>
      </c>
      <c r="H16" s="415">
        <f>IF(ISNUMBER(G16/B16),G16/B16," - ")</f>
        <v>129</v>
      </c>
      <c r="I16" s="414">
        <f>IF(ISNUMBER(IF(D_I="SI",Datos!L16,Datos!L16+Datos!AF16)),IF(D_I="SI",Datos!L16,Datos!L16+Datos!AF16)," - ")</f>
        <v>406</v>
      </c>
      <c r="J16" s="415">
        <f>IF(ISNUMBER(I16/B16),I16/B16," - ")</f>
        <v>406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v>
      </c>
      <c r="D17" s="415">
        <f>IF(ISNUMBER(C17/Datos!BH17),C17/Datos!BH17," - ")</f>
        <v>25</v>
      </c>
      <c r="E17" s="414">
        <f>IF(ISNUMBER(IF(D_I="SI",Datos!J17,Datos!J17+Datos!AD17)),IF(D_I="SI",Datos!J17,Datos!J17+Datos!AD17)," - ")</f>
        <v>6</v>
      </c>
      <c r="F17" s="415">
        <f>IF(ISNUMBER(E17/B17),E17/B17," - ")</f>
        <v>6</v>
      </c>
      <c r="G17" s="414">
        <f>IF(ISNUMBER(IF(D_I="SI",Datos!K17,Datos!K17+Datos!AE17)),IF(D_I="SI",Datos!K17,Datos!K17+Datos!AE17)," - ")</f>
        <v>7</v>
      </c>
      <c r="H17" s="415">
        <f>IF(ISNUMBER(G17/B17),G17/B17," - ")</f>
        <v>7</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407</v>
      </c>
      <c r="D18" s="996" t="str">
        <f>IF(ISNUMBER(C18/Datos!BI18),C18/Datos!BI18," - ")</f>
        <v xml:space="preserve"> - </v>
      </c>
      <c r="E18" s="995">
        <f>SUBTOTAL(9,E14:E17)</f>
        <v>156</v>
      </c>
      <c r="F18" s="996">
        <f>IF(ISNUMBER(E18/B18),E18/B18," - ")</f>
        <v>156</v>
      </c>
      <c r="G18" s="995">
        <f>SUBTOTAL(9,G14:G17)</f>
        <v>136</v>
      </c>
      <c r="H18" s="996">
        <f>IF(ISNUMBER(G18/B18),G18/B18," - ")</f>
        <v>136</v>
      </c>
      <c r="I18" s="995">
        <f>SUBTOTAL(9,I14:I17)</f>
        <v>430</v>
      </c>
      <c r="J18" s="996">
        <f>IF(ISNUMBER(I18/B18),I18/B18," - ")</f>
        <v>430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1179</v>
      </c>
      <c r="D19" s="941" t="str">
        <f>IF(ISNUMBER(C19/Datos!BI19),C19/Datos!BI19," - ")</f>
        <v xml:space="preserve"> - </v>
      </c>
      <c r="E19" s="940">
        <f>SUBTOTAL(9,E9:E18)</f>
        <v>330</v>
      </c>
      <c r="F19" s="941">
        <f>IF(ISNUMBER(E19/B19),E19/B19," - ")</f>
        <v>330</v>
      </c>
      <c r="G19" s="940">
        <f>SUBTOTAL(9,G9:G18)</f>
        <v>274</v>
      </c>
      <c r="H19" s="941">
        <f>IF(ISNUMBER(G19/B19),G19/B19," - ")</f>
        <v>274</v>
      </c>
      <c r="I19" s="940">
        <f>SUBTOTAL(9,I9:I18)</f>
        <v>1238</v>
      </c>
      <c r="J19" s="941">
        <f>IF(ISNUMBER(I19/B19),I19/B19," - ")</f>
        <v>1238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698tIcNqiAKoeR/b04LDleCEoxDKkVxaMEeDsyeUVmhrQXOuV3oKKk5Ua4yCyP2YUJLaRPV5gxHD19Lz+jNSA==" saltValue="s7Y8LCxW+DEZh7HT3GLe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SARRIA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676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36</v>
      </c>
      <c r="AM12" s="810">
        <f>IF(ISNUMBER(Datos!N12+DatosP!N16),Datos!N12+DatosP!N16," - ")</f>
        <v>55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11.623188405797102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2.1148036253776436E-2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v>
      </c>
      <c r="AE13" s="1085">
        <f t="shared" si="1"/>
        <v>0</v>
      </c>
      <c r="AF13" s="1085">
        <f t="shared" si="1"/>
        <v>6</v>
      </c>
      <c r="AG13" s="1085">
        <f t="shared" si="1"/>
        <v>0</v>
      </c>
      <c r="AH13" s="1085">
        <f t="shared" si="1"/>
        <v>676</v>
      </c>
      <c r="AI13" s="1085">
        <f t="shared" si="1"/>
        <v>0</v>
      </c>
      <c r="AJ13" s="1085">
        <f t="shared" si="1"/>
        <v>0</v>
      </c>
      <c r="AK13" s="1085">
        <f t="shared" si="1"/>
        <v>0</v>
      </c>
      <c r="AL13" s="1085">
        <f t="shared" si="1"/>
        <v>36</v>
      </c>
      <c r="AM13" s="1085">
        <f t="shared" si="1"/>
        <v>55</v>
      </c>
      <c r="AN13" s="1085">
        <f t="shared" si="1"/>
        <v>0</v>
      </c>
      <c r="AO13" s="1085">
        <f t="shared" si="1"/>
        <v>0</v>
      </c>
      <c r="AP13" s="1090">
        <f>IF(ISNUMBER(((Datos!L13/Datos!K13)*11)/factor_trimestre),((Datos!L13/Datos!K13)*11)/factor_trimestre," - ")</f>
        <v>12.453781512605042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2.1148036253776436E-2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6.3235294117647065</v>
      </c>
      <c r="AQ18" s="1090">
        <f>IF(ISNUMBER(((Datos!M18/Datos!L18)*11)/factor_trimestre),((Datos!M18/Datos!L18)*11)/factor_trimestre," - ")</f>
        <v>9.7674418604651161E-2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-0.20833333333333334</v>
      </c>
      <c r="AW18" s="1092">
        <f>IF(ISNUMBER((Datos!Q18-Datos!R18)/(Datos!S18-Datos!Q18+Datos!R18)),(Datos!Q18-Datos!R18)/(Datos!S18-Datos!Q18+Datos!R18)," - ")</f>
        <v>-3.870967741935484E-2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v>
      </c>
      <c r="AE19" s="1103">
        <f t="shared" si="5"/>
        <v>0</v>
      </c>
      <c r="AF19" s="1104">
        <f t="shared" si="5"/>
        <v>6</v>
      </c>
      <c r="AG19" s="1104">
        <f t="shared" si="5"/>
        <v>0</v>
      </c>
      <c r="AH19" s="1104">
        <f t="shared" si="5"/>
        <v>676</v>
      </c>
      <c r="AI19" s="1104">
        <f t="shared" si="5"/>
        <v>0</v>
      </c>
      <c r="AJ19" s="1105">
        <f t="shared" si="5"/>
        <v>0</v>
      </c>
      <c r="AK19" s="1105">
        <f t="shared" si="5"/>
        <v>0</v>
      </c>
      <c r="AL19" s="1097">
        <f t="shared" si="5"/>
        <v>36</v>
      </c>
      <c r="AM19" s="1097">
        <f t="shared" si="5"/>
        <v>55</v>
      </c>
      <c r="AN19" s="1097">
        <f t="shared" si="5"/>
        <v>0</v>
      </c>
      <c r="AO19" s="1097">
        <f t="shared" si="5"/>
        <v>0</v>
      </c>
      <c r="AP19" s="1097">
        <f>IF(ISNUMBER(((Datos!L19/Datos!K19)*11)/factor_trimestre),((Datos!L19/Datos!K19)*11)/factor_trimestre," - ")</f>
        <v>9.1843137254901954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1.3119533527696793E-2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20.784609690826528</v>
      </c>
      <c r="AM21" s="869"/>
      <c r="AN21" s="869">
        <f>IF(ISNUMBER(STDEV(AN8:AN18)),STDEV(AN8:AN18),"-")</f>
        <v>0</v>
      </c>
      <c r="AO21" s="875">
        <f>IF(ISNUMBER(STDEV(AO8:AO18)),STDEV(AO8:AO18),"-")</f>
        <v>0</v>
      </c>
      <c r="AP21" s="922">
        <f>IF(ISNUMBER(STDEV(AP8:AP18)),STDEV(AP8:AP18),"-")</f>
        <v>3.3255641421660247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4JSjUAnqWdiCpqJAaAjmpsfKwFSci6ONl0LK9bRgBO7jVEqrJEPXkbh2mUq3rzgRBz1DmoiipxbG0U3++ce3sw==" saltValue="6NS/5olhQTYPXlqmjGhP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SARRIA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x3BAfsryNl+ITVpcLVpj8/gz+xXo0RJ8mAHykZczNAssBHnrZyXlbP9KuywQg7BoLnP6HQjezDNGsLIyetk/Q==" saltValue="pvXn3PTDSgrliTe1IRF9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SARRIA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36</v>
      </c>
      <c r="E12" s="415">
        <f t="shared" si="0"/>
        <v>36</v>
      </c>
      <c r="F12" s="414">
        <f>IF(ISNUMBER(Datos!N12),Datos!N12," - ")</f>
        <v>55</v>
      </c>
      <c r="G12" s="415">
        <f t="shared" si="1"/>
        <v>55</v>
      </c>
      <c r="H12" s="414">
        <f>IF(ISNUMBER(Datos!O12),Datos!O12," - ")</f>
        <v>83</v>
      </c>
      <c r="I12" s="415">
        <f t="shared" si="2"/>
        <v>83</v>
      </c>
    </row>
    <row r="13" spans="1:9" ht="14.25" thickTop="1" thickBot="1">
      <c r="A13" s="994" t="str">
        <f>Datos!A13</f>
        <v>TOTAL</v>
      </c>
      <c r="B13" s="995">
        <f>Datos!AO13</f>
        <v>2</v>
      </c>
      <c r="C13" s="997">
        <f>Datos!AR13</f>
        <v>1</v>
      </c>
      <c r="D13" s="995">
        <f>SUBTOTAL(9,D9:D12)</f>
        <v>36</v>
      </c>
      <c r="E13" s="996">
        <f t="shared" si="0"/>
        <v>18</v>
      </c>
      <c r="F13" s="995">
        <f>SUBTOTAL(9,F9:F12)</f>
        <v>55</v>
      </c>
      <c r="G13" s="996">
        <f t="shared" si="1"/>
        <v>27.5</v>
      </c>
      <c r="H13" s="995">
        <f>SUBTOTAL(9,H9:H12)</f>
        <v>83</v>
      </c>
      <c r="I13" s="996">
        <f>IF(ISNUMBER(H13/B13),H13/B13," - ")</f>
        <v>41.5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21</v>
      </c>
      <c r="E16" s="415">
        <f t="shared" si="3"/>
        <v>21</v>
      </c>
      <c r="F16" s="414">
        <f>IF(ISNUMBER(Datos!N16),Datos!N16," - ")</f>
        <v>72</v>
      </c>
      <c r="G16" s="415">
        <f t="shared" si="4"/>
        <v>72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21</v>
      </c>
      <c r="E18" s="996">
        <f t="shared" si="3"/>
        <v>10.5</v>
      </c>
      <c r="F18" s="995">
        <f>SUBTOTAL(9,F15:F17)</f>
        <v>81</v>
      </c>
      <c r="G18" s="996">
        <f t="shared" si="4"/>
        <v>40.5</v>
      </c>
      <c r="H18" s="995">
        <f>SUBTOTAL(9,H15:H17)</f>
        <v>0</v>
      </c>
      <c r="I18" s="996">
        <f>IF(ISNUMBER(H18/B18),H18/B18," - ")</f>
        <v>0</v>
      </c>
    </row>
    <row r="19" spans="1:9" ht="14.25" thickTop="1" thickBot="1">
      <c r="A19" s="939" t="str">
        <f>Datos!A19</f>
        <v>TOTAL JURISDICCIONES</v>
      </c>
      <c r="B19" s="940">
        <f>Datos!AP19</f>
        <v>1</v>
      </c>
      <c r="C19" s="940">
        <f>Datos!AR19</f>
        <v>1</v>
      </c>
      <c r="D19" s="940">
        <f>SUBTOTAL(9,D8:D18)</f>
        <v>57</v>
      </c>
      <c r="E19" s="941">
        <f>IF(ISNUMBER(D19/B19),D19/B19," - ")</f>
        <v>57</v>
      </c>
      <c r="F19" s="940">
        <f>SUBTOTAL(9,F8:F18)</f>
        <v>136</v>
      </c>
      <c r="G19" s="941">
        <f>IF(ISNUMBER(F19/B19),F19/B19," - ")</f>
        <v>136</v>
      </c>
      <c r="H19" s="940">
        <f>SUBTOTAL(9,H8:H18)</f>
        <v>83</v>
      </c>
      <c r="I19" s="941">
        <f>IF(ISNUMBER(H19/B19),H19/B19," - ")</f>
        <v>83</v>
      </c>
    </row>
    <row r="22" spans="1:9">
      <c r="A22" s="402" t="str">
        <f>Criterios!A4</f>
        <v>Fecha Informe: 29 nov. 2023</v>
      </c>
    </row>
    <row r="27" spans="1:9">
      <c r="A27" s="425"/>
    </row>
  </sheetData>
  <sheetProtection algorithmName="SHA-512" hashValue="ogynYuhV29ntu8Ry9M/SAtn+3b8SXZGKC/3WK1Kcj3VJ9aLoAn45l25wtn68goZERkTJJwQHB+tvC+toSu3gSw==" saltValue="UyWn7osMIIdUd9ERm0kc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SARRIA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v>
      </c>
      <c r="C12" s="450">
        <f>IF(ISNUMBER(Datos!Q12),Datos!Q12," - ")</f>
        <v>13</v>
      </c>
      <c r="D12" s="419">
        <f>IF(ISNUMBER(Datos!R12),Datos!R12," - ")</f>
        <v>676</v>
      </c>
    </row>
    <row r="13" spans="1:4" ht="14.25" thickTop="1" thickBot="1">
      <c r="A13" s="994" t="str">
        <f>Datos!A13</f>
        <v>TOTAL</v>
      </c>
      <c r="B13" s="995">
        <f>SUBTOTAL(9,B9:B12)</f>
        <v>27</v>
      </c>
      <c r="C13" s="999">
        <f>SUBTOTAL(9,C9:C12)</f>
        <v>13</v>
      </c>
      <c r="D13" s="997">
        <f>SUBTOTAL(9,D9:D12)</f>
        <v>676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7</v>
      </c>
      <c r="D16" s="419">
        <f>IF(ISNUMBER(Datos!R16),Datos!R16," - ")</f>
        <v>19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7</v>
      </c>
      <c r="D18" s="997">
        <f>SUBTOTAL(9,D15:D17)</f>
        <v>19</v>
      </c>
    </row>
    <row r="19" spans="1:4" ht="16.5" customHeight="1" thickTop="1" thickBot="1">
      <c r="A19" s="939" t="str">
        <f>Datos!A19</f>
        <v>TOTAL JURISDICCIONES</v>
      </c>
      <c r="B19" s="944">
        <f>SUBTOTAL(9,B8:B18)</f>
        <v>29</v>
      </c>
      <c r="C19" s="945">
        <f>SUBTOTAL(9,C8:C18)</f>
        <v>20</v>
      </c>
      <c r="D19" s="946">
        <f>SUBTOTAL(9,D8:D18)</f>
        <v>695</v>
      </c>
    </row>
    <row r="20" spans="1:4" ht="7.5" customHeight="1"/>
    <row r="21" spans="1:4" ht="6" customHeight="1"/>
    <row r="22" spans="1:4">
      <c r="A22" s="402" t="str">
        <f>Criterios!A4</f>
        <v>Fecha Informe: 29 nov. 2023</v>
      </c>
    </row>
    <row r="27" spans="1:4">
      <c r="A27" s="425"/>
    </row>
  </sheetData>
  <sheetProtection algorithmName="SHA-512" hashValue="IlGglDg2h1kF8RVhMjd/bQ4TNRzQ96yp9z97cPKvJK1108AmaPj6rI8d8NYj1nJSyoP/b7kuKVeU+6sIIGUxtg==" saltValue="0SEWv6D8+b5CqXZl0kkh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SARRIA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-1</v>
      </c>
      <c r="D10" s="472" t="str">
        <f>IF(ISNUMBER((Datos!K10-Datos!U10)/Datos!U10),(Datos!K10-Datos!U10)/Datos!U10," - ")</f>
        <v xml:space="preserve"> - </v>
      </c>
      <c r="E10" s="472">
        <f>IF(ISNUMBER((Datos!L10-Datos!V10)/Datos!V10),(Datos!L10-Datos!V10)/Datos!V10," - ")</f>
        <v>0.2</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0.37769784172661869</v>
      </c>
      <c r="C12" s="472">
        <f>IF(ISNUMBER(
   IF(J_V="SI",(Datos!J12-Datos!T12)/Datos!T12,(Datos!J12+Datos!Z12-(Datos!T12+Datos!AH12))/(Datos!T12+Datos!AH12))
     ),IF(J_V="SI",(Datos!J12-Datos!T12)/Datos!T12,(Datos!J12+Datos!Z12-(Datos!T12+Datos!AH12))/(Datos!T12+Datos!AH12))," - ")</f>
        <v>5.7803468208092483E-3</v>
      </c>
      <c r="D12" s="472">
        <f>IF(ISNUMBER(
   IF(J_V="SI",(Datos!K12-Datos!U12)/Datos!U12,(Datos!K12+Datos!AA12-(Datos!U12+Datos!AI12))/(Datos!U12+Datos!AI12))
     ),IF(J_V="SI",(Datos!K12-Datos!U12)/Datos!U12,(Datos!K12+Datos!AA12-(Datos!U12+Datos!AI12))/(Datos!U12+Datos!AI12))," - ")</f>
        <v>7.8125E-2</v>
      </c>
      <c r="E12" s="472">
        <f>IF(ISNUMBER(
   IF(J_V="SI",(Datos!L12-Datos!V12)/Datos!V12,(Datos!L12+Datos!AB12-(Datos!V12+Datos!AJ12))/(Datos!V12+Datos!AJ12))
     ),IF(J_V="SI",(Datos!L12-Datos!V12)/Datos!V12,(Datos!L12+Datos!AB12-(Datos!V12+Datos!AJ12))/(Datos!V12+Datos!AJ12))," - ")</f>
        <v>0.39965095986038396</v>
      </c>
      <c r="F12" s="472">
        <f>IF(ISNUMBER((Datos!M12-Datos!W12)/Datos!W12),(Datos!M12-Datos!W12)/Datos!W12," - ")</f>
        <v>0.16129032258064516</v>
      </c>
      <c r="G12" s="473">
        <f>IF(ISNUMBER((Datos!N12-Datos!X12)/Datos!X12),(Datos!N12-Datos!X12)/Datos!X12," - ")</f>
        <v>0.22222222222222221</v>
      </c>
      <c r="H12" s="471">
        <f>IF(ISNUMBER(((NºAsuntos!G12/NºAsuntos!E12)-Datos!BD12)/Datos!BD12),((NºAsuntos!G12/NºAsuntos!E12)-Datos!BD12)/Datos!BD12," - ")</f>
        <v>7.1928879310344918E-2</v>
      </c>
      <c r="I12" s="472">
        <f>IF(ISNUMBER(((NºAsuntos!I12/NºAsuntos!G12)-Datos!BE12)/Datos!BE12),((NºAsuntos!I12/NºAsuntos!G12)-Datos!BE12)/Datos!BE12," - ")</f>
        <v>0.29822697726180541</v>
      </c>
      <c r="J12" s="477">
        <f>IF(ISNUMBER((('Resol  Asuntos'!D12/NºAsuntos!G12)-Datos!BF12)/Datos!BF12),(('Resol  Asuntos'!D12/NºAsuntos!G12)-Datos!BF12)/Datos!BF12," - ")</f>
        <v>-0.25797101449275367</v>
      </c>
      <c r="K12" s="478">
        <f>IF(ISNUMBER((((NºAsuntos!C12+NºAsuntos!E12)/NºAsuntos!G12)-Datos!BG12)/Datos!BG12),(((NºAsuntos!C12+NºAsuntos!E12)/NºAsuntos!G12)-Datos!BG12)/Datos!BG12," - ")</f>
        <v>0.1960000795212819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0.37857142857142856</v>
      </c>
      <c r="C13" s="1001">
        <f>IF(ISNUMBER(
   IF(J_V="SI",(Datos!J13-Datos!T13)/Datos!T13,(Datos!J13+Datos!Z13-(Datos!T13+Datos!AH13))/(Datos!T13+Datos!AH13))
     ),IF(J_V="SI",(Datos!J13-Datos!T13)/Datos!T13,(Datos!J13+Datos!Z13-(Datos!T13+Datos!AH13))/(Datos!T13+Datos!AH13))," - ")</f>
        <v>0</v>
      </c>
      <c r="D13" s="1001">
        <f>IF(ISNUMBER(
   IF(J_V="SI",(Datos!K13-Datos!U13)/Datos!U13,(Datos!K13+Datos!AA13-(Datos!U13+Datos!AI13))/(Datos!U13+Datos!AI13))
     ),IF(J_V="SI",(Datos!K13-Datos!U13)/Datos!U13,(Datos!K13+Datos!AA13-(Datos!U13+Datos!AI13))/(Datos!U13+Datos!AI13))," - ")</f>
        <v>7.8125E-2</v>
      </c>
      <c r="E13" s="1001">
        <f>IF(ISNUMBER(
   IF(J_V="SI",(Datos!L13-Datos!V13)/Datos!V13,(Datos!L13+Datos!AB13-(Datos!V13+Datos!AJ13))/(Datos!V13+Datos!AJ13))
     ),IF(J_V="SI",(Datos!L13-Datos!V13)/Datos!V13,(Datos!L13+Datos!AB13-(Datos!V13+Datos!AJ13))/(Datos!V13+Datos!AJ13))," - ")</f>
        <v>0.39792387543252594</v>
      </c>
      <c r="F13" s="1002">
        <f>IF(ISNUMBER((Datos!M13-Datos!W13)/Datos!W13),(Datos!M13-Datos!W13)/Datos!W13," - ")</f>
        <v>0.16129032258064516</v>
      </c>
      <c r="G13" s="1003">
        <f>IF(ISNUMBER((Datos!N13-Datos!X13)/Datos!X13),(Datos!N13-Datos!X13)/Datos!X13," - ")</f>
        <v>0.22222222222222221</v>
      </c>
      <c r="H13" s="1003">
        <f>IF(ISNUMBER(((NºAsuntos!G13/NºAsuntos!E13)-Datos!BD13)/Datos!BD13),((NºAsuntos!G13/NºAsuntos!E13)-Datos!BD13)/Datos!BD13," - ")</f>
        <v>7.8125000000000056E-2</v>
      </c>
      <c r="I13" s="1003">
        <f>IF(ISNUMBER(((NºAsuntos!I13/NºAsuntos!G13)-Datos!BE13)/Datos!BE13),((NºAsuntos!I13/NºAsuntos!G13)-Datos!BE13)/Datos!BE13," - ")</f>
        <v>0.29662504387944444</v>
      </c>
      <c r="J13" s="1003">
        <f>IF(ISNUMBER((('Resol  Asuntos'!D13/NºAsuntos!G13)-Datos!BF13)/Datos!BF13),(('Resol  Asuntos'!D13/NºAsuntos!G13)-Datos!BF13)/Datos!BF13," - ")</f>
        <v>-0.25797101449275367</v>
      </c>
      <c r="K13" s="1003">
        <f>IF(ISNUMBER((((NºAsuntos!C13+NºAsuntos!E13)/NºAsuntos!G13)-Datos!BG13)/Datos!BG13),(((NºAsuntos!C13+NºAsuntos!E13)/NºAsuntos!G13)-Datos!BG13)/Datos!BG13," - ")</f>
        <v>0.19543498005765514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0.34982332155477031</v>
      </c>
      <c r="C16" s="472">
        <f>IF(ISNUMBER(
   IF(D_I="SI",(Datos!J16-Datos!T16)/Datos!T16,(Datos!J16+Datos!AD16-(Datos!T16+Datos!AL16))/(Datos!T16+Datos!AL16))
     ),IF(D_I="SI",(Datos!J16-Datos!T16)/Datos!T16,(Datos!J16+Datos!AD16-(Datos!T16+Datos!AL16))/(Datos!T16+Datos!AL16))," - ")</f>
        <v>-5.0632911392405063E-2</v>
      </c>
      <c r="D16" s="472">
        <f>IF(ISNUMBER(
   IF(D_I="SI",(Datos!K16-Datos!U16)/Datos!U16,(Datos!K16+Datos!AE16-(Datos!U16+Datos!AM16))/(Datos!U16+Datos!AM16))
     ),IF(D_I="SI",(Datos!K16-Datos!U16)/Datos!U16,(Datos!K16+Datos!AE16-(Datos!U16+Datos!AM16))/(Datos!U16+Datos!AM16))," - ")</f>
        <v>-0.22754491017964071</v>
      </c>
      <c r="E16" s="472">
        <f>IF(ISNUMBER(
   IF(D_I="SI",(Datos!L16-Datos!V16)/Datos!V16,(Datos!L16+Datos!AF16-(Datos!V16+Datos!AN16))/(Datos!V16+Datos!AN16))
     ),IF(D_I="SI",(Datos!L16-Datos!V16)/Datos!V16,(Datos!L16+Datos!AF16-(Datos!V16+Datos!AN16))/(Datos!V16+Datos!AN16))," - ")</f>
        <v>0.48175182481751827</v>
      </c>
      <c r="F16" s="472">
        <f>IF(ISNUMBER((Datos!M16-Datos!W16)/Datos!W16),(Datos!M16-Datos!W16)/Datos!W16," - ")</f>
        <v>0.05</v>
      </c>
      <c r="G16" s="473">
        <f>IF(ISNUMBER((Datos!N16-Datos!X16)/Datos!X16),(Datos!N16-Datos!X16)/Datos!X16," - ")</f>
        <v>-0.25773195876288657</v>
      </c>
      <c r="H16" s="471">
        <f>IF(ISNUMBER(((NºAsuntos!G16/NºAsuntos!E16)-Datos!BD16)/Datos!BD16),((NºAsuntos!G16/NºAsuntos!E16)-Datos!BD16)/Datos!BD16," - ")</f>
        <v>-0.18634730538922165</v>
      </c>
      <c r="I16" s="472">
        <f>IF(ISNUMBER(((NºAsuntos!I16/NºAsuntos!G16)-Datos!BE16)/Datos!BE16),((NºAsuntos!I16/NºAsuntos!G16)-Datos!BE16)/Datos!BE16," - ")</f>
        <v>0.91823685848469394</v>
      </c>
      <c r="J16" s="477">
        <f>IF(ISNUMBER((('Resol  Asuntos'!D16/NºAsuntos!G16)-Datos!BF16)/Datos!BF16),(('Resol  Asuntos'!D16/NºAsuntos!G16)-Datos!BF16)/Datos!BF16," - ")</f>
        <v>0.35930232558139547</v>
      </c>
      <c r="K16" s="478">
        <f>IF(ISNUMBER((((NºAsuntos!C16+NºAsuntos!E16)/NºAsuntos!G16)-Datos!BG16)/Datos!BG16),(((NºAsuntos!C16+NºAsuntos!E16)/NºAsuntos!G16)-Datos!BG16)/Datos!BG16," - ")</f>
        <v>0.56170788728928278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0.66666666666666663</v>
      </c>
      <c r="C17" s="472">
        <f>IF(ISNUMBER(
   IF(D_I="SI",(Datos!J17-Datos!T17)/Datos!T17,(Datos!J17+Datos!AD17-(Datos!T17+Datos!AL17))/(Datos!T17+Datos!AL17))
     ),IF(D_I="SI",(Datos!J17-Datos!T17)/Datos!T17,(Datos!J17+Datos!AD17-(Datos!T17+Datos!AL17))/(Datos!T17+Datos!AL17))," - ")</f>
        <v>-0.53846153846153844</v>
      </c>
      <c r="D17" s="472">
        <f>IF(ISNUMBER(
   IF(D_I="SI",(Datos!K17-Datos!U17)/Datos!U17,(Datos!K17+Datos!AE17-(Datos!U17+Datos!AM17))/(Datos!U17+Datos!AM17))
     ),IF(D_I="SI",(Datos!K17-Datos!U17)/Datos!U17,(Datos!K17+Datos!AE17-(Datos!U17+Datos!AM17))/(Datos!U17+Datos!AM17))," - ")</f>
        <v>-0.36363636363636365</v>
      </c>
      <c r="E17" s="472">
        <f>IF(ISNUMBER(
   IF(D_I="SI",(Datos!L17-Datos!V17)/Datos!V17,(Datos!L17+Datos!AF17-(Datos!V17+Datos!AN17))/(Datos!V17+Datos!AN17))
     ),IF(D_I="SI",(Datos!L17-Datos!V17)/Datos!V17,(Datos!L17+Datos!AF17-(Datos!V17+Datos!AN17))/(Datos!V17+Datos!AN17))," - ")</f>
        <v>0.41176470588235292</v>
      </c>
      <c r="F17" s="472">
        <f>IF(ISNUMBER((Datos!M17-Datos!W17)/Datos!W17),(Datos!M17-Datos!W17)/Datos!W17," - ")</f>
        <v>-1</v>
      </c>
      <c r="G17" s="473">
        <f>IF(ISNUMBER((Datos!N17-Datos!X17)/Datos!X17),(Datos!N17-Datos!X17)/Datos!X17," - ")</f>
        <v>-0.30769230769230771</v>
      </c>
      <c r="H17" s="471">
        <f>IF(ISNUMBER(((NºAsuntos!G17/NºAsuntos!E17)-Datos!BD17)/Datos!BD17),((NºAsuntos!G17/NºAsuntos!E17)-Datos!BD17)/Datos!BD17," - ")</f>
        <v>0.3787878787878789</v>
      </c>
      <c r="I17" s="472">
        <f>IF(ISNUMBER(((NºAsuntos!I17/NºAsuntos!G17)-Datos!BE17)/Datos!BE17),((NºAsuntos!I17/NºAsuntos!G17)-Datos!BE17)/Datos!BE17," - ")</f>
        <v>1.2184873949579831</v>
      </c>
      <c r="J17" s="477">
        <f>IF(ISNUMBER((('Resol  Asuntos'!D17/NºAsuntos!G17)-Datos!BF17)/Datos!BF17),(('Resol  Asuntos'!D17/NºAsuntos!G17)-Datos!BF17)/Datos!BF17," - ")</f>
        <v>-1</v>
      </c>
      <c r="K17" s="478">
        <f>IF(ISNUMBER((((NºAsuntos!C17+NºAsuntos!E17)/NºAsuntos!G17)-Datos!BG17)/Datos!BG17),(((NºAsuntos!C17+NºAsuntos!E17)/NºAsuntos!G17)-Datos!BG17)/Datos!BG17," - ")</f>
        <v>0.73979591836734704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0.36577181208053694</v>
      </c>
      <c r="C18" s="1001">
        <f>IF(ISNUMBER(
   IF(Criterios!B14="SI",(Datos!J18-Datos!T18)/Datos!T18,(Datos!J18+Datos!AD18-(Datos!T18+Datos!AL18))/(Datos!T18+Datos!AL18))
     ),IF(Criterios!B14="SI",(Datos!J18-Datos!T18)/Datos!T18,(Datos!J18+Datos!AD18-(Datos!T18+Datos!AL18))/(Datos!T18+Datos!AL18))," - ")</f>
        <v>-8.771929824561403E-2</v>
      </c>
      <c r="D18" s="1001">
        <f>IF(ISNUMBER(
   IF(Criterios!B14="SI",(Datos!K18-Datos!U18)/Datos!U18,(Datos!K18+Datos!AE18-(Datos!U18+Datos!AM18))/(Datos!U18+Datos!AM18))
     ),IF(Criterios!B14="SI",(Datos!K18-Datos!U18)/Datos!U18,(Datos!K18+Datos!AE18-(Datos!U18+Datos!AM18))/(Datos!U18+Datos!AM18))," - ")</f>
        <v>-0.23595505617977527</v>
      </c>
      <c r="E18" s="1001">
        <f>IF(ISNUMBER(
   IF(Criterios!B14="SI",(Datos!L18-Datos!V18)/Datos!V18,(Datos!L18+Datos!AF18-(Datos!V18+Datos!AN18))/(Datos!V18+Datos!AN18))
     ),IF(Criterios!B14="SI",(Datos!L18-Datos!V18)/Datos!V18,(Datos!L18+Datos!AF18-(Datos!V18+Datos!AN18))/(Datos!V18+Datos!AN18))," - ")</f>
        <v>0.47766323024054985</v>
      </c>
      <c r="F18" s="1002">
        <f>IF(ISNUMBER((Datos!M18-Datos!W18)/Datos!W18),(Datos!M18-Datos!W18)/Datos!W18," - ")</f>
        <v>0</v>
      </c>
      <c r="G18" s="1003">
        <f>IF(ISNUMBER((Datos!N18-Datos!X18)/Datos!X18),(Datos!N18-Datos!X18)/Datos!X18," - ")</f>
        <v>-0.26363636363636361</v>
      </c>
      <c r="H18" s="1003">
        <f>IF(ISNUMBER(((NºAsuntos!G18/NºAsuntos!E18)-Datos!BD18)/Datos!BD18),((NºAsuntos!G18/NºAsuntos!E18)-Datos!BD18)/Datos!BD18," - ")</f>
        <v>-0.1624891961970614</v>
      </c>
      <c r="I18" s="1003">
        <f>IF(ISNUMBER(((NºAsuntos!I18/NºAsuntos!G18)-Datos!BE18)/Datos!BE18),((NºAsuntos!I18/NºAsuntos!G18)-Datos!BE18)/Datos!BE18," - ")</f>
        <v>0.9340004042854253</v>
      </c>
      <c r="J18" s="1003">
        <f>IF(ISNUMBER((('Resol  Asuntos'!D18/NºAsuntos!G18)-Datos!BF18)/Datos!BF18),(('Resol  Asuntos'!D18/NºAsuntos!G18)-Datos!BF18)/Datos!BF18," - ")</f>
        <v>0.30882352941176477</v>
      </c>
      <c r="K18" s="1003">
        <f>IF(ISNUMBER((((NºAsuntos!C18+NºAsuntos!E18)/NºAsuntos!G18)-Datos!BG18)/Datos!BG18),(((NºAsuntos!C18+NºAsuntos!E18)/NºAsuntos!G18)-Datos!BG18)/Datos!BG18," - ")</f>
        <v>0.57114636899535942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0.37412587412587411</v>
      </c>
      <c r="C19" s="948">
        <f>IF(ISNUMBER(
   IF(J_V="SI",(Datos!J19-Datos!T19)/Datos!T19,(Datos!J19+Datos!Z19-(Datos!T19+Datos!AH19))/(Datos!T19+Datos!AH19))
     ),IF(J_V="SI",(Datos!J19-Datos!T19)/Datos!T19,(Datos!J19+Datos!Z19-(Datos!T19+Datos!AH19))/(Datos!T19+Datos!AH19))," - ")</f>
        <v>-4.3478260869565216E-2</v>
      </c>
      <c r="D19" s="948">
        <f>IF(ISNUMBER(
   IF(J_V="SI",(Datos!K19-Datos!U19)/Datos!U19,(Datos!K19+Datos!AA19-(Datos!U19+Datos!AI19))/(Datos!U19+Datos!AI19))
     ),IF(J_V="SI",(Datos!K19-Datos!U19)/Datos!U19,(Datos!K19+Datos!AA19-(Datos!U19+Datos!AI19))/(Datos!U19+Datos!AI19))," - ")</f>
        <v>-0.10457516339869281</v>
      </c>
      <c r="E19" s="948">
        <f>IF(ISNUMBER(
   IF(J_V="SI",(Datos!L19-Datos!V19)/Datos!V19,(Datos!L19+Datos!AB19-(Datos!V19+Datos!AJ19))/(Datos!V19+Datos!AJ19))
     ),IF(J_V="SI",(Datos!L19-Datos!V19)/Datos!V19,(Datos!L19+Datos!AB19-(Datos!V19+Datos!AJ19))/(Datos!V19+Datos!AJ19))," - ")</f>
        <v>0.42462600690448793</v>
      </c>
      <c r="F19" s="949">
        <f>IF(ISNUMBER((Datos!M19-Datos!W19)/Datos!W19),(Datos!M19-Datos!W19)/Datos!W19," - ")</f>
        <v>9.6153846153846159E-2</v>
      </c>
      <c r="G19" s="950">
        <f>IF(ISNUMBER((Datos!N19-Datos!X19)/Datos!X19),(Datos!N19-Datos!X19)/Datos!X19," - ")</f>
        <v>-0.12258064516129032</v>
      </c>
      <c r="H19" s="951">
        <f>IF(ISNUMBER((Tasas!B19-Datos!BD19)/Datos!BD19),(Tasas!B19-Datos!BD19)/Datos!BD19," - ")</f>
        <v>-6.3874034462269719E-2</v>
      </c>
      <c r="I19" s="952">
        <f>IF(ISNUMBER((Tasas!C19-Datos!BE19)/Datos!BE19),(Tasas!C19-Datos!BE19)/Datos!BE19," - ")</f>
        <v>0.59100568654296814</v>
      </c>
      <c r="J19" s="953">
        <f>IF(ISNUMBER((Tasas!D19-Datos!BF19)/Datos!BF19),(Tasas!D19-Datos!BF19)/Datos!BF19," - ")</f>
        <v>-3.5500995355010022E-2</v>
      </c>
      <c r="K19" s="953">
        <f>IF(ISNUMBER((Tasas!E19-Datos!BG19)/Datos!BG19),(Tasas!E19-Datos!BG19)/Datos!BG19," - ")</f>
        <v>0.40085916595372895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c261ijvAe+GABpqLbwJoERZ0gAjxlnEVfJkh3ovglcHJzvsB1y1Qc2TulXvtHi9S8SY40JiZuOGbaCz2n3Dg==" saltValue="u7G4IaeyZMxAQm7WYcTP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SARRIA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0.7931034482758621</v>
      </c>
      <c r="C12" s="459">
        <f>IF(ISNUMBER(NºAsuntos!I12/NºAsuntos!G12),NºAsuntos!I12/NºAsuntos!G12," - ")</f>
        <v>5.8115942028985508</v>
      </c>
      <c r="D12" s="460">
        <f>IF(ISNUMBER('Resol  Asuntos'!D12/NºAsuntos!G12),'Resol  Asuntos'!D12/NºAsuntos!G12," - ")</f>
        <v>0.2608695652173913</v>
      </c>
      <c r="E12" s="461">
        <f>IF(ISNUMBER((NºAsuntos!C12+NºAsuntos!E12)/NºAsuntos!G12),(NºAsuntos!C12+NºAsuntos!E12)/NºAsuntos!G12," - ")</f>
        <v>6.8115942028985508</v>
      </c>
      <c r="G12" s="479"/>
    </row>
    <row r="13" spans="1:7" ht="14.25" thickTop="1" thickBot="1">
      <c r="A13" s="994" t="str">
        <f>Datos!A13</f>
        <v>TOTAL</v>
      </c>
      <c r="B13" s="1004">
        <f>IF(ISNUMBER(NºAsuntos!G13/NºAsuntos!E13),NºAsuntos!G13/NºAsuntos!E13," - ")</f>
        <v>0.7931034482758621</v>
      </c>
      <c r="C13" s="1005">
        <f>IF(ISNUMBER(NºAsuntos!I13/NºAsuntos!G13),NºAsuntos!I13/NºAsuntos!G13," - ")</f>
        <v>5.8550724637681162</v>
      </c>
      <c r="D13" s="1006">
        <f>IF(ISNUMBER('Resol  Asuntos'!D13/NºAsuntos!G13),'Resol  Asuntos'!D13/NºAsuntos!G13," - ")</f>
        <v>0.2608695652173913</v>
      </c>
      <c r="E13" s="1007">
        <f>IF(ISNUMBER((NºAsuntos!C13+NºAsuntos!E13)/NºAsuntos!G13),(NºAsuntos!C13+NºAsuntos!E13)/NºAsuntos!G13," - ")</f>
        <v>6.8550724637681162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v>
      </c>
      <c r="C16" s="459">
        <f>IF(ISNUMBER(NºAsuntos!I16/NºAsuntos!G16),NºAsuntos!I16/NºAsuntos!G16," - ")</f>
        <v>3.1472868217054262</v>
      </c>
      <c r="D16" s="460">
        <f>IF(ISNUMBER('Resol  Asuntos'!D16/NºAsuntos!G16),'Resol  Asuntos'!D16/NºAsuntos!G16," - ")</f>
        <v>0.16279069767441862</v>
      </c>
      <c r="E16" s="461">
        <f>IF(ISNUMBER((NºAsuntos!C16+NºAsuntos!E16)/NºAsuntos!G16),(NºAsuntos!C16+NºAsuntos!E16)/NºAsuntos!G16," - ")</f>
        <v>4.1240310077519382</v>
      </c>
      <c r="G16" s="479"/>
    </row>
    <row r="17" spans="1:7" ht="13.5" thickBot="1">
      <c r="A17" s="413" t="str">
        <f>Datos!A17</f>
        <v>Jdos. Violencia contra la mujer</v>
      </c>
      <c r="B17" s="458">
        <f>IF(ISNUMBER(NºAsuntos!G17/NºAsuntos!E17),NºAsuntos!G17/NºAsuntos!E17," - ")</f>
        <v>1.1666666666666667</v>
      </c>
      <c r="C17" s="459">
        <f>IF(ISNUMBER(NºAsuntos!I17/NºAsuntos!G17),NºAsuntos!I17/NºAsuntos!G17," - ")</f>
        <v>3.4285714285714284</v>
      </c>
      <c r="D17" s="460">
        <f>IF(ISNUMBER('Resol  Asuntos'!D17/NºAsuntos!G17),'Resol  Asuntos'!D17/NºAsuntos!G17," - ")</f>
        <v>0</v>
      </c>
      <c r="E17" s="461">
        <f>IF(ISNUMBER((NºAsuntos!C17+NºAsuntos!E17)/NºAsuntos!G17),(NºAsuntos!C17+NºAsuntos!E17)/NºAsuntos!G17," - ")</f>
        <v>4.4285714285714288</v>
      </c>
      <c r="G17" s="479"/>
    </row>
    <row r="18" spans="1:7" ht="14.25" thickTop="1" thickBot="1">
      <c r="A18" s="994" t="str">
        <f>Datos!A18</f>
        <v>TOTAL</v>
      </c>
      <c r="B18" s="1004">
        <f>IF(ISNUMBER(NºAsuntos!G18/NºAsuntos!E18),NºAsuntos!G18/NºAsuntos!E18," - ")</f>
        <v>0.87179487179487181</v>
      </c>
      <c r="C18" s="1005">
        <f>IF(ISNUMBER(NºAsuntos!I18/NºAsuntos!G18),NºAsuntos!I18/NºAsuntos!G18," - ")</f>
        <v>3.1617647058823528</v>
      </c>
      <c r="D18" s="1008">
        <f>IF(ISNUMBER('Resol  Asuntos'!D18/NºAsuntos!G18),'Resol  Asuntos'!D18/NºAsuntos!G18," - ")</f>
        <v>0.15441176470588236</v>
      </c>
      <c r="E18" s="1007">
        <f>IF(ISNUMBER((NºAsuntos!C18+NºAsuntos!E18)/NºAsuntos!G18),(NºAsuntos!C18+NºAsuntos!E18)/NºAsuntos!G18," - ")</f>
        <v>4.1397058823529411</v>
      </c>
      <c r="G18" s="479"/>
    </row>
    <row r="19" spans="1:7" ht="15.75" customHeight="1" thickTop="1" thickBot="1">
      <c r="A19" s="939" t="str">
        <f>Datos!A19</f>
        <v>TOTAL JURISDICCIONES</v>
      </c>
      <c r="B19" s="954">
        <f>IF(ISNUMBER(NºAsuntos!G19/NºAsuntos!E19),NºAsuntos!G19/NºAsuntos!E19," - ")</f>
        <v>0.83030303030303032</v>
      </c>
      <c r="C19" s="955">
        <f>IF(ISNUMBER(NºAsuntos!I19/NºAsuntos!G19),NºAsuntos!I19/NºAsuntos!G19," - ")</f>
        <v>4.5182481751824817</v>
      </c>
      <c r="D19" s="956">
        <f>IF(ISNUMBER('Resol  Asuntos'!D19/NºAsuntos!G19),'Resol  Asuntos'!D19/NºAsuntos!G19," - ")</f>
        <v>0.20802919708029197</v>
      </c>
      <c r="E19" s="957">
        <f>IF(ISNUMBER((NºAsuntos!C19+NºAsuntos!E19)/NºAsuntos!G19),(NºAsuntos!C19+NºAsuntos!E19)/NºAsuntos!G19," - ")</f>
        <v>5.507299270072993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49XkKdtUtknb59nuA0/1cAfzNbv1RPCHJ63tk3uzwlouoiSPCv+xcOxliKGxMJD7sCOLciTeWmBlHrfE9Zkwg==" saltValue="xaaql2298+dodTk4K2Gg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SARRIA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6</v>
      </c>
      <c r="AB10" s="343">
        <f>IF(ISNUMBER(Datos!R10),Datos!R10," - ")</f>
        <v>0</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v>
      </c>
      <c r="Y12" s="343">
        <f t="shared" si="0"/>
        <v>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676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36</v>
      </c>
      <c r="AJ12" s="233" t="str">
        <f>IF(ISNUMBER(Datos!BW12),Datos!BW12," - ")</f>
        <v xml:space="preserve"> - </v>
      </c>
      <c r="AK12" s="232" t="str">
        <f>IF(ISNUMBER(Datos!BX12),Datos!BX12," - ")</f>
        <v xml:space="preserve"> - </v>
      </c>
      <c r="AL12" s="247">
        <f>IF(ISNUMBER(NºAsuntos!G12/NºAsuntos!E12),NºAsuntos!G12/NºAsuntos!E12," - ")</f>
        <v>0.7931034482758621</v>
      </c>
      <c r="AM12" s="264">
        <f>IF(ISNUMBER(((NºAsuntos!I12/NºAsuntos!G12)*11)/factor_trimestre),((NºAsuntos!I12/NºAsuntos!G12)*11)/factor_trimestre," - ")</f>
        <v>11.623188405797102</v>
      </c>
      <c r="AN12" s="248">
        <f>IF(ISNUMBER('Resol  Asuntos'!D12/NºAsuntos!G12),'Resol  Asuntos'!D12/NºAsuntos!G12," - ")</f>
        <v>0.2608695652173913</v>
      </c>
      <c r="AO12" s="249">
        <f>IF(ISNUMBER((NºAsuntos!C12+NºAsuntos!E12)/NºAsuntos!G12),(NºAsuntos!C12+NºAsuntos!E12)/NºAsuntos!G12," - ")</f>
        <v>6.8115942028985508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6</v>
      </c>
      <c r="G13" s="1012">
        <f t="shared" si="3"/>
        <v>6</v>
      </c>
      <c r="H13" s="1011">
        <f t="shared" si="3"/>
        <v>0</v>
      </c>
      <c r="I13" s="1013">
        <f t="shared" si="3"/>
        <v>0</v>
      </c>
      <c r="J13" s="1013">
        <f t="shared" si="3"/>
        <v>0</v>
      </c>
      <c r="K13" s="1013">
        <f t="shared" si="3"/>
        <v>0</v>
      </c>
      <c r="L13" s="1013">
        <f t="shared" si="3"/>
        <v>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v>
      </c>
      <c r="Y13" s="1014">
        <f t="shared" si="4"/>
        <v>13</v>
      </c>
      <c r="Z13" s="1014">
        <f t="shared" si="4"/>
        <v>0</v>
      </c>
      <c r="AA13" s="1014">
        <f t="shared" si="4"/>
        <v>6</v>
      </c>
      <c r="AB13" s="1014">
        <f t="shared" si="4"/>
        <v>676</v>
      </c>
      <c r="AC13" s="1014">
        <f t="shared" si="4"/>
        <v>6</v>
      </c>
      <c r="AD13" s="1014">
        <f t="shared" si="4"/>
        <v>0</v>
      </c>
      <c r="AE13" s="1018">
        <f t="shared" si="4"/>
        <v>0</v>
      </c>
      <c r="AF13" s="1011">
        <f t="shared" si="4"/>
        <v>0</v>
      </c>
      <c r="AG13" s="1019">
        <f t="shared" si="4"/>
        <v>0</v>
      </c>
      <c r="AH13" s="1016">
        <f t="shared" si="4"/>
        <v>0</v>
      </c>
      <c r="AI13" s="1011">
        <f t="shared" si="4"/>
        <v>36</v>
      </c>
      <c r="AJ13" s="1013">
        <f t="shared" si="4"/>
        <v>0</v>
      </c>
      <c r="AK13" s="1016">
        <f>SUBTOTAL(9,AK9:AK12)</f>
        <v>0</v>
      </c>
      <c r="AL13" s="1020">
        <f>IF(ISNUMBER(NºAsuntos!G13/NºAsuntos!E13),NºAsuntos!G13/NºAsuntos!E13," - ")</f>
        <v>0.7931034482758621</v>
      </c>
      <c r="AM13" s="1020">
        <f>IF(ISNUMBER(((NºAsuntos!I13/NºAsuntos!G13)*11)/factor_trimestre),((NºAsuntos!I13/NºAsuntos!G13)*11)/factor_trimestre," - ")</f>
        <v>11.710144927536232</v>
      </c>
      <c r="AN13" s="1021">
        <f>IF(ISNUMBER('Resol  Asuntos'!D13/NºAsuntos!G13),'Resol  Asuntos'!D13/NºAsuntos!G13," - ")</f>
        <v>0.2608695652173913</v>
      </c>
      <c r="AO13" s="1022">
        <f>IF(ISNUMBER((NºAsuntos!C13+NºAsuntos!E13)/NºAsuntos!G13),(NºAsuntos!C13+NºAsuntos!E13)/NºAsuntos!G13," - ")</f>
        <v>6.8550724637681162</v>
      </c>
      <c r="AP13" s="1023" t="str">
        <f t="shared" si="2"/>
        <v xml:space="preserve"> - </v>
      </c>
      <c r="AQ13" s="1023">
        <f>IF(ISNUMBER((H13-W13+K13)/(F13)),(H13-W13+K13)/(F13)," - ")</f>
        <v>0</v>
      </c>
      <c r="AR13" s="1024">
        <f>IF(ISNUMBER((Datos!P13-Datos!Q13)/(Datos!R13-Datos!P13+Datos!Q13)),(Datos!P13-Datos!Q13)/(Datos!R13-Datos!P13+Datos!Q13)," - ")</f>
        <v>2.1148036253776436E-2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385</v>
      </c>
      <c r="G16" s="342">
        <f>IF(ISNUMBER(IF(D_I="SI",Datos!I16,Datos!I16+Datos!AC16)),IF(D_I="SI",Datos!I16,Datos!I16+Datos!AC16)," - ")</f>
        <v>382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129</v>
      </c>
      <c r="X16" s="230">
        <f>IF(ISNUMBER(Datos!Q16),Datos!Q16," - ")</f>
        <v>7</v>
      </c>
      <c r="Y16" s="343">
        <f t="shared" ref="Y16:Y17" si="7">SUM(W16:X16)</f>
        <v>136</v>
      </c>
      <c r="Z16" s="344" t="str">
        <f>IF(ISNUMBER(Datos!CC16),Datos!CC16," - ")</f>
        <v xml:space="preserve"> - </v>
      </c>
      <c r="AA16" s="341">
        <f>IF(ISNUMBER(IF(D_I="SI",Datos!L16,Datos!L16+Datos!AF16)),IF(D_I="SI",Datos!L16,Datos!L16+Datos!AF16)," - ")</f>
        <v>406</v>
      </c>
      <c r="AB16" s="343">
        <f>IF(ISNUMBER(Datos!R16),Datos!R16," - ")</f>
        <v>19</v>
      </c>
      <c r="AC16" s="343">
        <f t="shared" si="6"/>
        <v>425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v>
      </c>
      <c r="AJ16" s="235" t="str">
        <f>IF(ISNUMBER(Datos!BW16),Datos!BW16," - ")</f>
        <v xml:space="preserve"> - </v>
      </c>
      <c r="AK16" s="236" t="str">
        <f>IF(ISNUMBER(Datos!BX16),Datos!BX16," - ")</f>
        <v xml:space="preserve"> - </v>
      </c>
      <c r="AL16" s="247">
        <f>IF(ISNUMBER(NºAsuntos!G16/NºAsuntos!E16),NºAsuntos!G16/NºAsuntos!E16," - ")</f>
        <v>0.86</v>
      </c>
      <c r="AM16" s="264">
        <f>IF(ISNUMBER(((NºAsuntos!I16/NºAsuntos!G16)*11)/factor_trimestre),((NºAsuntos!I16/NºAsuntos!G16)*11)/factor_trimestre," - ")</f>
        <v>6.2945736434108532</v>
      </c>
      <c r="AN16" s="248">
        <f>IF(ISNUMBER('Resol  Asuntos'!D16/NºAsuntos!G16),'Resol  Asuntos'!D16/NºAsuntos!G16," - ")</f>
        <v>0.16279069767441862</v>
      </c>
      <c r="AO16" s="249">
        <f>IF(ISNUMBER((NºAsuntos!C16+NºAsuntos!E16)/NºAsuntos!G16),(NºAsuntos!C16+NºAsuntos!E16)/NºAsuntos!G16," - ")</f>
        <v>4.1240310077519382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24</v>
      </c>
      <c r="AB17" s="343">
        <f>IF(ISNUMBER(Datos!R17),Datos!R17," - ")</f>
        <v>0</v>
      </c>
      <c r="AC17" s="343">
        <f t="shared" si="6"/>
        <v>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1.1666666666666667</v>
      </c>
      <c r="AM17" s="264">
        <f>IF(ISNUMBER(((NºAsuntos!I17/NºAsuntos!G17)*11)/factor_trimestre),((NºAsuntos!I17/NºAsuntos!G17)*11)/factor_trimestre," - ")</f>
        <v>6.8571428571428577</v>
      </c>
      <c r="AN17" s="248">
        <f>IF(ISNUMBER('Resol  Asuntos'!D17/NºAsuntos!G17),'Resol  Asuntos'!D17/NºAsuntos!G17," - ")</f>
        <v>0</v>
      </c>
      <c r="AO17" s="249">
        <f>IF(ISNUMBER((NºAsuntos!C17+NºAsuntos!E17)/NºAsuntos!G17),(NºAsuntos!C17+NºAsuntos!E17)/NºAsuntos!G17," - ")</f>
        <v>4.4285714285714288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385</v>
      </c>
      <c r="G18" s="1012">
        <f>SUBTOTAL(9,G15:G17)</f>
        <v>407</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136</v>
      </c>
      <c r="X18" s="1013">
        <f t="shared" si="11"/>
        <v>7</v>
      </c>
      <c r="Y18" s="1014">
        <f t="shared" si="11"/>
        <v>143</v>
      </c>
      <c r="Z18" s="1014">
        <f t="shared" si="11"/>
        <v>0</v>
      </c>
      <c r="AA18" s="1014">
        <f t="shared" si="11"/>
        <v>430</v>
      </c>
      <c r="AB18" s="1014">
        <f t="shared" si="11"/>
        <v>19</v>
      </c>
      <c r="AC18" s="1014">
        <f t="shared" si="11"/>
        <v>449</v>
      </c>
      <c r="AD18" s="1014">
        <f t="shared" si="11"/>
        <v>0</v>
      </c>
      <c r="AE18" s="1018">
        <f t="shared" si="11"/>
        <v>0</v>
      </c>
      <c r="AF18" s="1011">
        <f t="shared" si="11"/>
        <v>0</v>
      </c>
      <c r="AG18" s="1019">
        <f t="shared" si="11"/>
        <v>0</v>
      </c>
      <c r="AH18" s="1016">
        <f t="shared" si="11"/>
        <v>0</v>
      </c>
      <c r="AI18" s="1011">
        <f t="shared" si="11"/>
        <v>21</v>
      </c>
      <c r="AJ18" s="1013">
        <f t="shared" si="11"/>
        <v>0</v>
      </c>
      <c r="AK18" s="1016">
        <f t="shared" si="11"/>
        <v>0</v>
      </c>
      <c r="AL18" s="1020">
        <f>IF(ISNUMBER(NºAsuntos!G18/NºAsuntos!E18),NºAsuntos!G18/NºAsuntos!E18," - ")</f>
        <v>0.87179487179487181</v>
      </c>
      <c r="AM18" s="1020">
        <f>IF(ISNUMBER(((NºAsuntos!I18/NºAsuntos!G18)*11)/factor_trimestre),((NºAsuntos!I18/NºAsuntos!G18)*11)/factor_trimestre," - ")</f>
        <v>6.3235294117647065</v>
      </c>
      <c r="AN18" s="1021">
        <f>IF(ISNUMBER('Resol  Asuntos'!D18/NºAsuntos!G18),'Resol  Asuntos'!D18/NºAsuntos!G18," - ")</f>
        <v>0.15441176470588236</v>
      </c>
      <c r="AO18" s="1022">
        <f>IF(ISNUMBER((NºAsuntos!C18+NºAsuntos!E18)/NºAsuntos!G18),(NºAsuntos!C18+NºAsuntos!E18)/NºAsuntos!G18," - ")</f>
        <v>4.1397058823529411</v>
      </c>
      <c r="AP18" s="1023" t="str">
        <f t="shared" si="2"/>
        <v xml:space="preserve"> - </v>
      </c>
      <c r="AQ18" s="1023">
        <f>IF(ISNUMBER((H18-W18+K18)/(F18)),(H18-W18+K18)/(F18)," - ")</f>
        <v>-0.35324675324675325</v>
      </c>
      <c r="AR18" s="1024">
        <f>IF(ISNUMBER((Datos!P18-Datos!Q18)/(Datos!R18-Datos!P18+Datos!Q18)),(Datos!P18-Datos!Q18)/(Datos!R18-Datos!P18+Datos!Q18)," - ")</f>
        <v>-0.20833333333333334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391</v>
      </c>
      <c r="G19" s="967">
        <f t="shared" si="13"/>
        <v>413</v>
      </c>
      <c r="H19" s="966">
        <f t="shared" si="13"/>
        <v>0</v>
      </c>
      <c r="I19" s="968">
        <f t="shared" si="13"/>
        <v>0</v>
      </c>
      <c r="J19" s="968">
        <f t="shared" si="13"/>
        <v>0</v>
      </c>
      <c r="K19" s="1027">
        <f t="shared" si="13"/>
        <v>0</v>
      </c>
      <c r="L19" s="968">
        <f t="shared" si="13"/>
        <v>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136</v>
      </c>
      <c r="X19" s="967">
        <f t="shared" si="14"/>
        <v>20</v>
      </c>
      <c r="Y19" s="974">
        <f t="shared" si="14"/>
        <v>156</v>
      </c>
      <c r="Z19" s="974">
        <f t="shared" si="14"/>
        <v>0</v>
      </c>
      <c r="AA19" s="974">
        <f t="shared" si="14"/>
        <v>436</v>
      </c>
      <c r="AB19" s="974">
        <f t="shared" si="14"/>
        <v>695</v>
      </c>
      <c r="AC19" s="974">
        <f t="shared" si="14"/>
        <v>455</v>
      </c>
      <c r="AD19" s="974">
        <f t="shared" si="14"/>
        <v>0</v>
      </c>
      <c r="AE19" s="976">
        <f t="shared" si="14"/>
        <v>0</v>
      </c>
      <c r="AF19" s="977">
        <f t="shared" si="14"/>
        <v>0</v>
      </c>
      <c r="AG19" s="978">
        <f t="shared" si="14"/>
        <v>0</v>
      </c>
      <c r="AH19" s="976">
        <f t="shared" si="14"/>
        <v>0</v>
      </c>
      <c r="AI19" s="966">
        <f t="shared" si="14"/>
        <v>57</v>
      </c>
      <c r="AJ19" s="966">
        <f t="shared" si="14"/>
        <v>0</v>
      </c>
      <c r="AK19" s="976">
        <f t="shared" si="14"/>
        <v>0</v>
      </c>
      <c r="AL19" s="1030">
        <f>IF(ISNUMBER(NºAsuntos!G19/NºAsuntos!E19),NºAsuntos!G19/NºAsuntos!E19," - ")</f>
        <v>0.83030303030303032</v>
      </c>
      <c r="AM19" s="1031">
        <f>IF(ISNUMBER(((NºAsuntos!I19/NºAsuntos!G19)*11)/factor_trimestre),((NºAsuntos!I19/NºAsuntos!G19)*11)/factor_trimestre," - ")</f>
        <v>9.0364963503649633</v>
      </c>
      <c r="AN19" s="1031">
        <f>IF(ISNUMBER('Resol  Asuntos'!D19/NºAsuntos!G19),'Resol  Asuntos'!D19/NºAsuntos!G19," - ")</f>
        <v>0.20802919708029197</v>
      </c>
      <c r="AO19" s="1032">
        <f>IF(ISNUMBER((NºAsuntos!C19+NºAsuntos!E19)/NºAsuntos!G19),(NºAsuntos!C19+NºAsuntos!E19)/NºAsuntos!G19," - ")</f>
        <v>5.507299270072993</v>
      </c>
      <c r="AP19" s="1033" t="str">
        <f t="shared" si="2"/>
        <v xml:space="preserve"> - </v>
      </c>
      <c r="AQ19" s="1034">
        <f>IF(OR(ISNUMBER(FIND("01",Criterios!A8,1)),ISNUMBER(FIND("02",Criterios!A8,1)),ISNUMBER(FIND("03",Criterios!A8,1)),ISNUMBER(FIND("04",Criterios!A8,1))),(I19-W19+K19)/(F19-K19),(H19-W19+K19)/(F19-K19))</f>
        <v>-0.34782608695652173</v>
      </c>
      <c r="AR19" s="1035">
        <f>IF(ISNUMBER((Datos!P19-Datos!Q19)/(Datos!R19-Datos!P19+Datos!Q19)),(Datos!P19-Datos!Q19)/(Datos!R19-Datos!P19+Datos!Q19)," - ")</f>
        <v>1.3119533527696793E-2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218.81575202286817</v>
      </c>
      <c r="G21" s="257">
        <f>IF(ISNUMBER(STDEV(G8:G18)),STDEV(G8:G18),"-")</f>
        <v>209.65137729096844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71.395378001660589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16.174053295324583</v>
      </c>
      <c r="AJ21" s="256">
        <f t="shared" si="18"/>
        <v>0</v>
      </c>
      <c r="AK21" s="258">
        <f t="shared" si="18"/>
        <v>0</v>
      </c>
      <c r="AL21" s="253">
        <f t="shared" si="18"/>
        <v>0.15517198082467598</v>
      </c>
      <c r="AM21" s="254">
        <f t="shared" si="18"/>
        <v>2.8434222897483337</v>
      </c>
      <c r="AN21" s="254">
        <f t="shared" si="18"/>
        <v>0.10687032470628649</v>
      </c>
      <c r="AO21" s="255">
        <f t="shared" si="18"/>
        <v>1.4307133759188018</v>
      </c>
      <c r="AP21" s="295" t="str">
        <f t="shared" si="18"/>
        <v>-</v>
      </c>
      <c r="AQ21" s="296">
        <f t="shared" si="18"/>
        <v>0.24978317465291031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jH2VI3eH2L2Ta3iYnDdDcGtUwufIFDGuCre9RmNGOsk6DG4QTxorPuAM5Kefp0HhfdHMZi0J+faCGiLDrK3Ag==" saltValue="O5Gck+R7O3NaSdlnjtFH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SARRIA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-1</v>
      </c>
      <c r="F10" s="357" t="str">
        <f>IF(ISNUMBER((Datos!K10-Datos!U10)/Datos!U10),(Datos!K10-Datos!U10)/Datos!U10," - ")</f>
        <v xml:space="preserve"> - </v>
      </c>
      <c r="G10" s="358">
        <f>IF(ISNUMBER((Datos!L10-Datos!V10)/Datos!V10),(Datos!L10-Datos!V10)/Datos!V10," - ")</f>
        <v>0.2</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0.16129032258064516</v>
      </c>
      <c r="I12" s="359">
        <f>IF(ISNUMBER((Tasas!C12-Datos!BE12)/Datos!BE12),(Tasas!C12-Datos!BE12)/Datos!BE12," - ")</f>
        <v>0.29822697726180541</v>
      </c>
      <c r="J12" s="358">
        <f>IF(ISNUMBER((Tasas!D12-Datos!BF12)/Datos!BF12),(Tasas!D12-Datos!BF12)/Datos!BF12," - ")</f>
        <v>-0.25797101449275367</v>
      </c>
      <c r="K12" s="360">
        <f>IF(ISNUMBER((Tasas!E12-Datos!BG12)/Datos!BG12),(Tasas!E12-Datos!BG12)/Datos!BG12," - ")</f>
        <v>0.1960000795212819</v>
      </c>
      <c r="M12" t="e">
        <f>IF(Monitorios="SI",Datos!CE12,0)</f>
        <v>#REF!</v>
      </c>
      <c r="N12" t="e">
        <f>IF(Monitorios="SI",Datos!CF12,0)</f>
        <v>#REF!</v>
      </c>
      <c r="O12" t="e">
        <f>IF(Monitorios="SI",Datos!CG12,0)</f>
        <v>#REF!</v>
      </c>
      <c r="P12" t="e">
        <f>IF(Monitorios="SI",Datos!CH12,0)</f>
        <v>#REF!</v>
      </c>
      <c r="Q12">
        <f>IF(J_V="SI",0,Datos!AG12)</f>
        <v>51</v>
      </c>
      <c r="R12">
        <f>IF(J_V="SI",0,Datos!AH12)</f>
        <v>19</v>
      </c>
      <c r="S12">
        <f>IF(J_V="SI",0,Datos!AI12)</f>
        <v>20</v>
      </c>
      <c r="T12">
        <f>IF(J_V="SI",0,Datos!AJ12)</f>
        <v>33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0.16129032258064516</v>
      </c>
      <c r="I13" s="366">
        <f>IF(ISNUMBER((Tasas!C13-Datos!BE13)/Datos!BE13),(Tasas!C13-Datos!BE13)/Datos!BE13," - ")</f>
        <v>0.29662504387944444</v>
      </c>
      <c r="J13" s="364">
        <f>IF(ISNUMBER((Tasas!D13-Datos!BF13)/Datos!BF13),(Tasas!D13-Datos!BF13)/Datos!BF13," - ")</f>
        <v>-0.25797101449275367</v>
      </c>
      <c r="K13" s="367">
        <f>IF(ISNUMBER((Tasas!E13-Datos!BG13)/Datos!BG13),(Tasas!E13-Datos!BG13)/Datos!BG13," - ")</f>
        <v>0.19543498005765514</v>
      </c>
      <c r="M13" t="e">
        <f>IF(Monitorios="SI",Datos!CE13,0)</f>
        <v>#REF!</v>
      </c>
      <c r="N13" t="e">
        <f>IF(Monitorios="SI",Datos!CF13,0)</f>
        <v>#REF!</v>
      </c>
      <c r="O13" t="e">
        <f>IF(Monitorios="SI",Datos!CG13,0)</f>
        <v>#REF!</v>
      </c>
      <c r="P13" t="e">
        <f>IF(Monitorios="SI",Datos!CH13,0)</f>
        <v>#REF!</v>
      </c>
      <c r="Q13">
        <f>IF(J_V="SI",0,Datos!AG13)</f>
        <v>51</v>
      </c>
      <c r="R13">
        <f>IF(J_V="SI",0,Datos!AH13)</f>
        <v>19</v>
      </c>
      <c r="S13">
        <f>IF(J_V="SI",0,Datos!AI13)</f>
        <v>20</v>
      </c>
      <c r="T13">
        <f>IF(J_V="SI",0,Datos!AJ13)</f>
        <v>33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0.34982332155477031</v>
      </c>
      <c r="E16" s="357">
        <f>IF(ISNUMBER(
   IF(D_I="SI",(Datos!J16-Datos!T16)/Datos!T16,(Datos!J16+Datos!AD16-(Datos!T16+Datos!AL16))/(Datos!T16+Datos!AL16))
     ),IF(D_I="SI",(Datos!J16-Datos!T16)/Datos!T16,(Datos!J16+Datos!AD16-(Datos!T16+Datos!AL16))/(Datos!T16+Datos!AL16))," - ")</f>
        <v>-5.0632911392405063E-2</v>
      </c>
      <c r="F16" s="357">
        <f>IF(ISNUMBER(
   IF(D_I="SI",(Datos!K16-Datos!U16)/Datos!U16,(Datos!K16+Datos!AE16-(Datos!U16+Datos!AM16))/(Datos!U16+Datos!AM16))
     ),IF(D_I="SI",(Datos!K16-Datos!U16)/Datos!U16,(Datos!K16+Datos!AE16-(Datos!U16+Datos!AM16))/(Datos!U16+Datos!AM16))," - ")</f>
        <v>-0.22754491017964071</v>
      </c>
      <c r="G16" s="358">
        <f>IF(ISNUMBER(
   IF(D_I="SI",(Datos!L16-Datos!V16)/Datos!V16,(Datos!L16+Datos!AF16-(Datos!V16+Datos!AN16))/(Datos!V16+Datos!AN16))
     ),IF(D_I="SI",(Datos!L16-Datos!V16)/Datos!V16,(Datos!L16+Datos!AF16-(Datos!V16+Datos!AN16))/(Datos!V16+Datos!AN16))," - ")</f>
        <v>0.48175182481751827</v>
      </c>
      <c r="H16" s="234">
        <f>IF(ISNUMBER((Datos!M16-Datos!W16)/Datos!W16),(Datos!M16-Datos!W16)/Datos!W16," - ")</f>
        <v>0.05</v>
      </c>
      <c r="I16" s="359">
        <f>IF(ISNUMBER((Tasas!C16-Datos!BE16)/Datos!BE16),(Tasas!C16-Datos!BE16)/Datos!BE16," - ")</f>
        <v>0.91823685848469394</v>
      </c>
      <c r="J16" s="358">
        <f>IF(ISNUMBER((Tasas!D16-Datos!BF16)/Datos!BF16),(Tasas!D16-Datos!BF16)/Datos!BF16," - ")</f>
        <v>0.35930232558139547</v>
      </c>
      <c r="K16" s="360">
        <f>IF(ISNUMBER((Tasas!E16-Datos!BG16)/Datos!BG16),(Tasas!E16-Datos!BG16)/Datos!BG16," - ")</f>
        <v>0.56170788728928278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0.66666666666666663</v>
      </c>
      <c r="E17" s="357">
        <f>IF(ISNUMBER(
   IF(D_I="SI",(Datos!J17-Datos!T17)/Datos!T17,(Datos!J17+Datos!AD17-(Datos!T17+Datos!AL17))/(Datos!T17+Datos!AL17))
     ),IF(D_I="SI",(Datos!J17-Datos!T17)/Datos!T17,(Datos!J17+Datos!AD17-(Datos!T17+Datos!AL17))/(Datos!T17+Datos!AL17))," - ")</f>
        <v>-0.53846153846153844</v>
      </c>
      <c r="F17" s="357">
        <f>IF(ISNUMBER(
   IF(D_I="SI",(Datos!K17-Datos!U17)/Datos!U17,(Datos!K17+Datos!AE17-(Datos!U17+Datos!AM17))/(Datos!U17+Datos!AM17))
     ),IF(D_I="SI",(Datos!K17-Datos!U17)/Datos!U17,(Datos!K17+Datos!AE17-(Datos!U17+Datos!AM17))/(Datos!U17+Datos!AM17))," - ")</f>
        <v>-0.36363636363636365</v>
      </c>
      <c r="G17" s="358">
        <f>IF(ISNUMBER(
   IF(D_I="SI",(Datos!L17-Datos!V17)/Datos!V17,(Datos!L17+Datos!AF17-(Datos!V17+Datos!AN17))/(Datos!V17+Datos!AN17))
     ),IF(D_I="SI",(Datos!L17-Datos!V17)/Datos!V17,(Datos!L17+Datos!AF17-(Datos!V17+Datos!AN17))/(Datos!V17+Datos!AN17))," - ")</f>
        <v>0.41176470588235292</v>
      </c>
      <c r="H17" s="234">
        <f>IF(ISNUMBER((Datos!M17-Datos!W17)/Datos!W17),(Datos!M17-Datos!W17)/Datos!W17," - ")</f>
        <v>-1</v>
      </c>
      <c r="I17" s="359">
        <f>IF(ISNUMBER((Tasas!C17-Datos!BE17)/Datos!BE17),(Tasas!C17-Datos!BE17)/Datos!BE17," - ")</f>
        <v>1.2184873949579831</v>
      </c>
      <c r="J17" s="358">
        <f>IF(ISNUMBER((Tasas!D17-Datos!BF17)/Datos!BF17),(Tasas!D17-Datos!BF17)/Datos!BF17," - ")</f>
        <v>-1</v>
      </c>
      <c r="K17" s="360">
        <f>IF(ISNUMBER((Tasas!E17-Datos!BG17)/Datos!BG17),(Tasas!E17-Datos!BG17)/Datos!BG17," - ")</f>
        <v>0.73979591836734704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0.36577181208053694</v>
      </c>
      <c r="E18" s="363">
        <f>IF(ISNUMBER(
   IF(D_I="SI",(Datos!J18-Datos!T18)/Datos!T18,(Datos!J18+Datos!AD18-(Datos!T18+Datos!AL18))/(Datos!T18+Datos!AL18))
     ),IF(D_I="SI",(Datos!J18-Datos!T18)/Datos!T18,(Datos!J18+Datos!AD18-(Datos!T18+Datos!AL18))/(Datos!T18+Datos!AL18))," - ")</f>
        <v>-8.771929824561403E-2</v>
      </c>
      <c r="F18" s="363">
        <f>IF(ISNUMBER(
   IF(D_I="SI",(Datos!K18-Datos!U18)/Datos!U18,(Datos!K18+Datos!AE18-(Datos!U18+Datos!AM18))/(Datos!U18+Datos!AM18))
     ),IF(D_I="SI",(Datos!K18-Datos!U18)/Datos!U18,(Datos!K18+Datos!AE18-(Datos!U18+Datos!AM18))/(Datos!U18+Datos!AM18))," - ")</f>
        <v>-0.23595505617977527</v>
      </c>
      <c r="G18" s="364">
        <f>IF(ISNUMBER(
   IF(D_I="SI",(Datos!L18-Datos!V18)/Datos!V18,(Datos!L18+Datos!AF18-(Datos!V18+Datos!AN18))/(Datos!V18+Datos!AN18))
     ),IF(D_I="SI",(Datos!L18-Datos!V18)/Datos!V18,(Datos!L18+Datos!AF18-(Datos!V18+Datos!AN18))/(Datos!V18+Datos!AN18))," - ")</f>
        <v>0.47766323024054985</v>
      </c>
      <c r="H18" s="365">
        <f>IF(ISNUMBER((Datos!M18-Datos!W18)/Datos!W18),(Datos!M18-Datos!W18)/Datos!W18," - ")</f>
        <v>0</v>
      </c>
      <c r="I18" s="366">
        <f>IF(ISNUMBER((Tasas!C18-Datos!BE18)/Datos!BE18),(Tasas!C18-Datos!BE18)/Datos!BE18," - ")</f>
        <v>0.9340004042854253</v>
      </c>
      <c r="J18" s="364">
        <f>IF(ISNUMBER((Tasas!D18-Datos!BF18)/Datos!BF18),(Tasas!D18-Datos!BF18)/Datos!BF18," - ")</f>
        <v>0.30882352941176477</v>
      </c>
      <c r="K18" s="367">
        <f>IF(ISNUMBER((Tasas!E18-Datos!BG18)/Datos!BG18),(Tasas!E18-Datos!BG18)/Datos!BG18," - ")</f>
        <v>0.57114636899535942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0.37412587412587411</v>
      </c>
      <c r="E19" s="372">
        <f>IF(ISNUMBER(
   IF(J_V="SI",(Datos!J19-Datos!T19)/Datos!T19,(Datos!J19+Datos!Z19-(Datos!T19+Datos!AH19))/(Datos!T19+Datos!AH19))
     ),IF(J_V="SI",(Datos!J19-Datos!T19)/Datos!T19,(Datos!J19+Datos!Z19-(Datos!T19+Datos!AH19))/(Datos!T19+Datos!AH19))," - ")</f>
        <v>-4.3478260869565216E-2</v>
      </c>
      <c r="F19" s="372">
        <f>IF(ISNUMBER(
   IF(J_V="SI",(Datos!K19-Datos!U19)/Datos!U19,(Datos!K19+Datos!AA19-(Datos!U19+Datos!AI19))/(Datos!U19+Datos!AI19))
     ),IF(J_V="SI",(Datos!K19-Datos!U19)/Datos!U19,(Datos!K19+Datos!AA19-(Datos!U19+Datos!AI19))/(Datos!U19+Datos!AI19))," - ")</f>
        <v>-0.10457516339869281</v>
      </c>
      <c r="G19" s="373">
        <f>IF(ISNUMBER(
   IF(J_V="SI",(Datos!L19-Datos!V19)/Datos!V19,(Datos!L19+Datos!AB19-(Datos!V19+Datos!AJ19))/(Datos!V19+Datos!AJ19))
     ),IF(J_V="SI",(Datos!L19-Datos!V19)/Datos!V19,(Datos!L19+Datos!AB19-(Datos!V19+Datos!AJ19))/(Datos!V19+Datos!AJ19))," - ")</f>
        <v>0.42462600690448793</v>
      </c>
      <c r="H19" s="374">
        <f>IF(ISNUMBER((Datos!M19-Datos!W19)/Datos!W19),(Datos!M19-Datos!W19)/Datos!W19," - ")</f>
        <v>9.6153846153846159E-2</v>
      </c>
      <c r="I19" s="371">
        <f>IF(ISNUMBER((Tasas!C19-Datos!BE19)/Datos!BE19),(Tasas!C19-Datos!BE19)/Datos!BE19," - ")</f>
        <v>0.59100568654296814</v>
      </c>
      <c r="J19" s="372">
        <f>IF(ISNUMBER((Tasas!D19-Datos!BF19)/Datos!BF19),(Tasas!D19-Datos!BF19)/Datos!BF19," - ")</f>
        <v>-3.5500995355010022E-2</v>
      </c>
      <c r="K19" s="373">
        <f>IF(ISNUMBER((Tasas!E19-Datos!BG19)/Datos!BG19),(Tasas!E19-Datos!BG19)/Datos!BG19," - ")</f>
        <v>0.40085916595372895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0.14706285282346601</v>
      </c>
      <c r="E21" s="282">
        <f t="shared" si="1"/>
        <v>0.44619618590526566</v>
      </c>
      <c r="F21" s="282">
        <f t="shared" si="1"/>
        <v>7.6260661039982594E-2</v>
      </c>
      <c r="G21" s="283">
        <f t="shared" si="1"/>
        <v>0.1324709967653627</v>
      </c>
      <c r="H21" s="289">
        <f t="shared" si="1"/>
        <v>0.49391247376207575</v>
      </c>
      <c r="I21" s="281">
        <f t="shared" si="1"/>
        <v>0.41528980364490387</v>
      </c>
      <c r="J21" s="282">
        <f t="shared" si="1"/>
        <v>0.55086517614266894</v>
      </c>
      <c r="K21" s="283">
        <f t="shared" si="1"/>
        <v>0.24516137507901931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F86LdUkY9F3vxYH51uUDF+DSEzoaDxDf6krgVu9uJ/EG4AXgpyLP0Zt+x2a8ymGTZwWnyl7n6ydkPBKLCLKHA==" saltValue="jHcHPi3UKszaaiJ2nSD+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